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66925"/>
  <mc:AlternateContent xmlns:mc="http://schemas.openxmlformats.org/markup-compatibility/2006">
    <mc:Choice Requires="x15">
      <x15ac:absPath xmlns:x15ac="http://schemas.microsoft.com/office/spreadsheetml/2010/11/ac" url="https://ucdavis365-my.sharepoint.com/personal/ktrose_ucdavis_edu/Documents/Kendra Personnal Drive/Budget Template/Website Upload/"/>
    </mc:Choice>
  </mc:AlternateContent>
  <xr:revisionPtr revIDLastSave="0" documentId="8_{9541297A-4B3D-46F8-9AAE-7CDBCDFB5A35}" xr6:coauthVersionLast="47" xr6:coauthVersionMax="47" xr10:uidLastSave="{00000000-0000-0000-0000-000000000000}"/>
  <bookViews>
    <workbookView xWindow="3105" yWindow="2280" windowWidth="31290" windowHeight="17385" xr2:uid="{00000000-000D-0000-FFFF-FFFF00000000}"/>
  </bookViews>
  <sheets>
    <sheet name="Budget" sheetId="1" r:id="rId1"/>
    <sheet name="Personnel Info" sheetId="8" r:id="rId2"/>
    <sheet name="Cost Share" sheetId="5" r:id="rId3"/>
    <sheet name="State of CA Exhibit B" sheetId="6" r:id="rId4"/>
    <sheet name="Blank State of CA Exhibit B" sheetId="7" r:id="rId5"/>
    <sheet name="Worksheet" sheetId="2" state="hidden" r:id="rId6"/>
  </sheets>
  <externalReferences>
    <externalReference r:id="rId7"/>
  </externalReferences>
  <definedNames>
    <definedName name="FringeGroups">[1]worksheet!$A$53:$A$58</definedName>
    <definedName name="_xlnm.Print_Area" localSheetId="4">'Blank State of CA Exhibit B'!$A$1:$I$103</definedName>
    <definedName name="_xlnm.Print_Area" localSheetId="0">Budget!$A$2:$P$175</definedName>
    <definedName name="_xlnm.Print_Area" localSheetId="2">'Cost Share'!$A$1:$P$158</definedName>
    <definedName name="_xlnm.Print_Area" localSheetId="3">'State of CA Exhibit B'!$A$1:$I$102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6" l="1"/>
  <c r="G40" i="6"/>
  <c r="F40" i="6"/>
  <c r="E40" i="6"/>
  <c r="D40" i="6"/>
  <c r="H39" i="6"/>
  <c r="G39" i="6"/>
  <c r="F39" i="6"/>
  <c r="E39" i="6"/>
  <c r="D39" i="6"/>
  <c r="H38" i="6"/>
  <c r="G38" i="6"/>
  <c r="F38" i="6"/>
  <c r="E38" i="6"/>
  <c r="D38" i="6"/>
  <c r="H37" i="6"/>
  <c r="G37" i="6"/>
  <c r="F37" i="6"/>
  <c r="E37" i="6"/>
  <c r="D37" i="6"/>
  <c r="H36" i="6"/>
  <c r="G36" i="6"/>
  <c r="F36" i="6"/>
  <c r="E36" i="6"/>
  <c r="D36" i="6"/>
  <c r="H35" i="6"/>
  <c r="G35" i="6"/>
  <c r="F35" i="6"/>
  <c r="I35" i="6" s="1"/>
  <c r="E35" i="6"/>
  <c r="D35" i="6"/>
  <c r="B40" i="6"/>
  <c r="B39" i="6"/>
  <c r="B38" i="6"/>
  <c r="B37" i="6"/>
  <c r="B36" i="6"/>
  <c r="B35" i="6"/>
  <c r="B34" i="6"/>
  <c r="K64" i="2"/>
  <c r="K63" i="2"/>
  <c r="K62" i="2"/>
  <c r="J64" i="2"/>
  <c r="J63" i="2"/>
  <c r="J62" i="2"/>
  <c r="AD66" i="1" l="1"/>
  <c r="L67" i="2" l="1"/>
  <c r="M67" i="2" s="1"/>
  <c r="N67" i="2" s="1"/>
  <c r="O67" i="2" s="1"/>
  <c r="P67" i="2" s="1"/>
  <c r="Q67" i="2" s="1"/>
  <c r="R67" i="2" s="1"/>
  <c r="S67" i="2" s="1"/>
  <c r="T67" i="2" s="1"/>
  <c r="L66" i="2"/>
  <c r="M66" i="2" s="1"/>
  <c r="N66" i="2" s="1"/>
  <c r="O66" i="2" s="1"/>
  <c r="P66" i="2" s="1"/>
  <c r="Q66" i="2" s="1"/>
  <c r="R66" i="2" s="1"/>
  <c r="S66" i="2" s="1"/>
  <c r="T66" i="2" s="1"/>
  <c r="L65" i="2"/>
  <c r="M65" i="2" s="1"/>
  <c r="N65" i="2" s="1"/>
  <c r="O65" i="2" s="1"/>
  <c r="P65" i="2" s="1"/>
  <c r="Q65" i="2" s="1"/>
  <c r="R65" i="2" s="1"/>
  <c r="S65" i="2" s="1"/>
  <c r="T65" i="2" s="1"/>
  <c r="H64" i="2"/>
  <c r="H63" i="2"/>
  <c r="H62" i="2"/>
  <c r="I64" i="2"/>
  <c r="L64" i="2" s="1"/>
  <c r="M64" i="2" s="1"/>
  <c r="N64" i="2" s="1"/>
  <c r="O64" i="2" s="1"/>
  <c r="P64" i="2" s="1"/>
  <c r="Q64" i="2" s="1"/>
  <c r="R64" i="2" s="1"/>
  <c r="S64" i="2" s="1"/>
  <c r="T64" i="2" s="1"/>
  <c r="I63" i="2"/>
  <c r="L63" i="2" s="1"/>
  <c r="M63" i="2" s="1"/>
  <c r="N63" i="2" s="1"/>
  <c r="O63" i="2" s="1"/>
  <c r="P63" i="2" s="1"/>
  <c r="Q63" i="2" s="1"/>
  <c r="R63" i="2" s="1"/>
  <c r="S63" i="2" s="1"/>
  <c r="T63" i="2" s="1"/>
  <c r="I62" i="2"/>
  <c r="L62" i="2" s="1"/>
  <c r="M62" i="2" s="1"/>
  <c r="N62" i="2" s="1"/>
  <c r="O62" i="2" s="1"/>
  <c r="P62" i="2" s="1"/>
  <c r="Q62" i="2" s="1"/>
  <c r="R62" i="2" s="1"/>
  <c r="S62" i="2" s="1"/>
  <c r="T62" i="2" s="1"/>
  <c r="C37" i="2" l="1"/>
  <c r="C140" i="2"/>
  <c r="F5" i="2"/>
  <c r="E5" i="2"/>
  <c r="B45" i="1" l="1"/>
  <c r="G62" i="2" l="1"/>
  <c r="H43" i="7" l="1"/>
  <c r="G43" i="7"/>
  <c r="F43" i="7"/>
  <c r="E43" i="7"/>
  <c r="D43" i="7"/>
  <c r="B5" i="2" l="1"/>
  <c r="G64" i="2" l="1"/>
  <c r="F64" i="2"/>
  <c r="G63" i="2"/>
  <c r="F63" i="2"/>
  <c r="F62" i="2"/>
  <c r="L5" i="1" l="1"/>
  <c r="M5" i="1" s="1"/>
  <c r="B3" i="2"/>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O153" i="1"/>
  <c r="O145" i="1"/>
  <c r="H14" i="6" s="1"/>
  <c r="K130" i="1"/>
  <c r="L130" i="1" s="1"/>
  <c r="G41" i="1"/>
  <c r="G42" i="1"/>
  <c r="G43" i="1"/>
  <c r="G44" i="1"/>
  <c r="G45" i="1"/>
  <c r="G46" i="1"/>
  <c r="G47" i="1"/>
  <c r="G48" i="1"/>
  <c r="G49" i="1"/>
  <c r="G50" i="1"/>
  <c r="G51" i="1"/>
  <c r="G52" i="1"/>
  <c r="G53" i="1"/>
  <c r="G54" i="1"/>
  <c r="N153" i="1"/>
  <c r="G13" i="6" s="1"/>
  <c r="N145" i="1"/>
  <c r="G14" i="6" s="1"/>
  <c r="F41" i="1"/>
  <c r="F42" i="1"/>
  <c r="F43" i="1"/>
  <c r="F44" i="1"/>
  <c r="F45" i="1"/>
  <c r="F46" i="1"/>
  <c r="F47" i="1"/>
  <c r="F48" i="1"/>
  <c r="F49" i="1"/>
  <c r="F50" i="1"/>
  <c r="F51" i="1"/>
  <c r="F52" i="1"/>
  <c r="F53" i="1"/>
  <c r="F54" i="1"/>
  <c r="M153" i="1"/>
  <c r="F13" i="6" s="1"/>
  <c r="M145" i="1"/>
  <c r="F14" i="6" s="1"/>
  <c r="E41" i="1"/>
  <c r="E42" i="1"/>
  <c r="E43" i="1"/>
  <c r="E44" i="1"/>
  <c r="E45" i="1"/>
  <c r="E46" i="1"/>
  <c r="E47" i="1"/>
  <c r="E48" i="1"/>
  <c r="E49" i="1"/>
  <c r="E50" i="1"/>
  <c r="E51" i="1"/>
  <c r="E52" i="1"/>
  <c r="E53" i="1"/>
  <c r="E54" i="1"/>
  <c r="L153" i="1"/>
  <c r="E13" i="6" s="1"/>
  <c r="L145" i="1"/>
  <c r="E14" i="6" s="1"/>
  <c r="C38" i="2"/>
  <c r="C39" i="2"/>
  <c r="D41" i="1"/>
  <c r="D42" i="1"/>
  <c r="D43" i="1"/>
  <c r="D44" i="1"/>
  <c r="D45" i="1"/>
  <c r="D46" i="1"/>
  <c r="D47" i="1"/>
  <c r="D48" i="1"/>
  <c r="D49" i="1"/>
  <c r="D50" i="1"/>
  <c r="D51" i="1"/>
  <c r="D52" i="1"/>
  <c r="D53" i="1"/>
  <c r="D54" i="1"/>
  <c r="K153" i="1"/>
  <c r="D13" i="6" s="1"/>
  <c r="K145" i="1"/>
  <c r="D14" i="6" s="1"/>
  <c r="C134" i="5"/>
  <c r="A115" i="2"/>
  <c r="D131" i="2" s="1"/>
  <c r="H173" i="1"/>
  <c r="H13" i="6"/>
  <c r="B37" i="2"/>
  <c r="B38" i="2"/>
  <c r="B39" i="2"/>
  <c r="C40" i="2"/>
  <c r="B40" i="2"/>
  <c r="C41" i="2"/>
  <c r="B41" i="2"/>
  <c r="C42" i="2"/>
  <c r="B42" i="2"/>
  <c r="C43" i="2"/>
  <c r="B43" i="2"/>
  <c r="C44" i="2"/>
  <c r="B44" i="2"/>
  <c r="C45" i="2"/>
  <c r="B45" i="2"/>
  <c r="C46" i="2"/>
  <c r="B46" i="2"/>
  <c r="C47" i="2"/>
  <c r="B47" i="2"/>
  <c r="C48" i="2"/>
  <c r="B48" i="2"/>
  <c r="C49" i="2"/>
  <c r="B49" i="2"/>
  <c r="C50" i="2"/>
  <c r="B50" i="2"/>
  <c r="C51" i="2"/>
  <c r="B51" i="2"/>
  <c r="C52" i="2"/>
  <c r="B52" i="2"/>
  <c r="C53" i="2"/>
  <c r="B53" i="2"/>
  <c r="C54" i="2"/>
  <c r="B54" i="2"/>
  <c r="C55" i="2"/>
  <c r="B55" i="2"/>
  <c r="C56" i="2"/>
  <c r="B56" i="2"/>
  <c r="K71" i="2"/>
  <c r="L71" i="2" s="1"/>
  <c r="M71" i="2" s="1"/>
  <c r="N71" i="2" s="1"/>
  <c r="O71" i="2" s="1"/>
  <c r="P71" i="2" s="1"/>
  <c r="Q71" i="2" s="1"/>
  <c r="R71" i="2" s="1"/>
  <c r="S71" i="2" s="1"/>
  <c r="T71" i="2" s="1"/>
  <c r="C5" i="2"/>
  <c r="D5" i="2"/>
  <c r="K165" i="1"/>
  <c r="E64" i="2"/>
  <c r="E63" i="2"/>
  <c r="E62" i="2"/>
  <c r="AD78" i="1"/>
  <c r="AD70" i="1"/>
  <c r="AD79" i="1"/>
  <c r="AD80" i="1"/>
  <c r="AD77" i="1"/>
  <c r="AD76" i="1"/>
  <c r="AD75" i="1"/>
  <c r="AD74" i="1"/>
  <c r="AD73" i="1"/>
  <c r="AD72" i="1"/>
  <c r="AD71" i="1"/>
  <c r="AD69" i="1"/>
  <c r="AD68" i="1"/>
  <c r="AD67" i="1"/>
  <c r="C4" i="5"/>
  <c r="B4" i="5"/>
  <c r="D64" i="2"/>
  <c r="D63" i="2"/>
  <c r="D62" i="2"/>
  <c r="S12" i="1"/>
  <c r="F137" i="5"/>
  <c r="N3" i="5"/>
  <c r="L3" i="5"/>
  <c r="M3" i="5"/>
  <c r="C3" i="5"/>
  <c r="F39" i="5"/>
  <c r="G39" i="5"/>
  <c r="F40" i="5"/>
  <c r="G40" i="5"/>
  <c r="F41" i="5"/>
  <c r="G41" i="5"/>
  <c r="F42" i="5"/>
  <c r="G42" i="5"/>
  <c r="F43" i="5"/>
  <c r="G43" i="5"/>
  <c r="F44" i="5"/>
  <c r="G44" i="5"/>
  <c r="F45" i="5"/>
  <c r="G45" i="5"/>
  <c r="F46" i="5"/>
  <c r="G46" i="5"/>
  <c r="F47" i="5"/>
  <c r="G47" i="5"/>
  <c r="F48" i="5"/>
  <c r="G48" i="5"/>
  <c r="F49" i="5"/>
  <c r="G49" i="5"/>
  <c r="F50" i="5"/>
  <c r="G50" i="5"/>
  <c r="F51" i="5"/>
  <c r="G51" i="5"/>
  <c r="F52" i="5"/>
  <c r="G52" i="5"/>
  <c r="M61" i="5"/>
  <c r="M80" i="5"/>
  <c r="M81" i="5" s="1"/>
  <c r="M79" i="5"/>
  <c r="M99" i="5"/>
  <c r="M116" i="5"/>
  <c r="M129" i="5"/>
  <c r="O61" i="5"/>
  <c r="P61" i="5" s="1"/>
  <c r="O80" i="5"/>
  <c r="O81" i="5" s="1"/>
  <c r="O79" i="5"/>
  <c r="O99" i="5"/>
  <c r="O116" i="5"/>
  <c r="O129" i="5"/>
  <c r="H39" i="5"/>
  <c r="I39" i="5"/>
  <c r="H40" i="5"/>
  <c r="I40" i="5"/>
  <c r="H41" i="5"/>
  <c r="I41" i="5"/>
  <c r="H42" i="5"/>
  <c r="I42" i="5"/>
  <c r="H43" i="5"/>
  <c r="I43" i="5"/>
  <c r="H44" i="5"/>
  <c r="I44" i="5"/>
  <c r="H45" i="5"/>
  <c r="I45" i="5"/>
  <c r="H46" i="5"/>
  <c r="I46" i="5"/>
  <c r="H47" i="5"/>
  <c r="I47" i="5"/>
  <c r="H48" i="5"/>
  <c r="I48" i="5"/>
  <c r="H49" i="5"/>
  <c r="I49" i="5"/>
  <c r="H50" i="5"/>
  <c r="I50" i="5"/>
  <c r="H51" i="5"/>
  <c r="I51" i="5"/>
  <c r="H52" i="5"/>
  <c r="I52" i="5"/>
  <c r="N61" i="5"/>
  <c r="N80" i="5"/>
  <c r="N81" i="5" s="1"/>
  <c r="N79" i="5"/>
  <c r="N99" i="5"/>
  <c r="N116" i="5"/>
  <c r="N129" i="5"/>
  <c r="L61" i="5"/>
  <c r="L80" i="5"/>
  <c r="L79" i="5"/>
  <c r="L81" i="5" s="1"/>
  <c r="L99" i="5"/>
  <c r="L116" i="5"/>
  <c r="L129" i="5"/>
  <c r="E39" i="5"/>
  <c r="E40" i="5"/>
  <c r="E41" i="5"/>
  <c r="E42" i="5"/>
  <c r="E43" i="5"/>
  <c r="E44" i="5"/>
  <c r="E45" i="5"/>
  <c r="E46" i="5"/>
  <c r="E47" i="5"/>
  <c r="E48" i="5"/>
  <c r="E49" i="5"/>
  <c r="E50" i="5"/>
  <c r="E51" i="5"/>
  <c r="E52" i="5"/>
  <c r="K61" i="5"/>
  <c r="K80" i="5"/>
  <c r="K79" i="5"/>
  <c r="P79" i="5" s="1"/>
  <c r="K99" i="5"/>
  <c r="K116" i="5"/>
  <c r="K129" i="5"/>
  <c r="C141" i="2"/>
  <c r="D39" i="5"/>
  <c r="D40" i="5"/>
  <c r="D41" i="5"/>
  <c r="D42" i="5"/>
  <c r="D43" i="5"/>
  <c r="D44" i="5"/>
  <c r="D45" i="5"/>
  <c r="D46" i="5"/>
  <c r="D47" i="5"/>
  <c r="D48" i="5"/>
  <c r="D49" i="5"/>
  <c r="D50" i="5"/>
  <c r="D51" i="5"/>
  <c r="D52" i="5"/>
  <c r="C142" i="2"/>
  <c r="C143" i="2"/>
  <c r="C144" i="2"/>
  <c r="C145" i="2"/>
  <c r="C146" i="2"/>
  <c r="C147" i="2"/>
  <c r="C148" i="2"/>
  <c r="C149" i="2"/>
  <c r="C150" i="2"/>
  <c r="C151" i="2"/>
  <c r="C152" i="2"/>
  <c r="C153" i="2"/>
  <c r="C154" i="2"/>
  <c r="C155" i="2"/>
  <c r="C156" i="2"/>
  <c r="C157" i="2"/>
  <c r="C158" i="2"/>
  <c r="C159" i="2"/>
  <c r="B140" i="2"/>
  <c r="B141" i="2"/>
  <c r="B142" i="2"/>
  <c r="B143" i="2"/>
  <c r="B144" i="2"/>
  <c r="B145" i="2"/>
  <c r="B146" i="2"/>
  <c r="B147" i="2"/>
  <c r="B148" i="2"/>
  <c r="B149" i="2"/>
  <c r="B150" i="2"/>
  <c r="B151" i="2"/>
  <c r="B152" i="2"/>
  <c r="B153" i="2"/>
  <c r="B154" i="2"/>
  <c r="B155" i="2"/>
  <c r="B156" i="2"/>
  <c r="B157" i="2"/>
  <c r="B158" i="2"/>
  <c r="B159" i="2"/>
  <c r="H106" i="2"/>
  <c r="F173" i="1" s="1"/>
  <c r="O165" i="1"/>
  <c r="N165" i="1"/>
  <c r="M165" i="1"/>
  <c r="L165" i="1"/>
  <c r="E4" i="8"/>
  <c r="E5" i="8"/>
  <c r="E6" i="8"/>
  <c r="E7" i="8"/>
  <c r="E8" i="8"/>
  <c r="E9" i="8"/>
  <c r="E10" i="8"/>
  <c r="E11" i="8"/>
  <c r="E12" i="8"/>
  <c r="E13" i="8"/>
  <c r="E35" i="8" s="1"/>
  <c r="E14" i="8"/>
  <c r="E36" i="8" s="1"/>
  <c r="E15" i="8"/>
  <c r="E37" i="8" s="1"/>
  <c r="E16" i="8"/>
  <c r="E38" i="8" s="1"/>
  <c r="E17" i="8"/>
  <c r="E18" i="8"/>
  <c r="E19" i="8"/>
  <c r="E20" i="8"/>
  <c r="E21" i="8"/>
  <c r="E22" i="8"/>
  <c r="E23" i="8"/>
  <c r="J4" i="8"/>
  <c r="Y23" i="8"/>
  <c r="Y22" i="8"/>
  <c r="Y21" i="8"/>
  <c r="Y20" i="8"/>
  <c r="Y19" i="8"/>
  <c r="Y18" i="8"/>
  <c r="Y17" i="8"/>
  <c r="Y16" i="8"/>
  <c r="Y38" i="8" s="1"/>
  <c r="Y15" i="8"/>
  <c r="Y37" i="8" s="1"/>
  <c r="Y14" i="8"/>
  <c r="Y36" i="8" s="1"/>
  <c r="Y13" i="8"/>
  <c r="Y35" i="8" s="1"/>
  <c r="Y12" i="8"/>
  <c r="Y11" i="8"/>
  <c r="Y10" i="8"/>
  <c r="Y9" i="8"/>
  <c r="Y8" i="8"/>
  <c r="Y7" i="8"/>
  <c r="Y6" i="8"/>
  <c r="Y5" i="8"/>
  <c r="Y4" i="8"/>
  <c r="T23" i="8"/>
  <c r="T22" i="8"/>
  <c r="T21" i="8"/>
  <c r="T20" i="8"/>
  <c r="T19" i="8"/>
  <c r="T18" i="8"/>
  <c r="T17" i="8"/>
  <c r="T16" i="8"/>
  <c r="T38" i="8" s="1"/>
  <c r="T15" i="8"/>
  <c r="T37" i="8" s="1"/>
  <c r="T14" i="8"/>
  <c r="T36" i="8" s="1"/>
  <c r="T13" i="8"/>
  <c r="T35" i="8" s="1"/>
  <c r="T12" i="8"/>
  <c r="T34" i="8" s="1"/>
  <c r="T11" i="8"/>
  <c r="T33" i="8" s="1"/>
  <c r="T10" i="8"/>
  <c r="T9" i="8"/>
  <c r="T8" i="8"/>
  <c r="T7" i="8"/>
  <c r="T6" i="8"/>
  <c r="T5" i="8"/>
  <c r="T4" i="8"/>
  <c r="O23" i="8"/>
  <c r="O22" i="8"/>
  <c r="O21" i="8"/>
  <c r="O20" i="8"/>
  <c r="O19" i="8"/>
  <c r="O18" i="8"/>
  <c r="O17" i="8"/>
  <c r="O16" i="8"/>
  <c r="O38" i="8" s="1"/>
  <c r="O15" i="8"/>
  <c r="O37" i="8" s="1"/>
  <c r="O14" i="8"/>
  <c r="O36" i="8" s="1"/>
  <c r="O13" i="8"/>
  <c r="O35" i="8" s="1"/>
  <c r="O12" i="8"/>
  <c r="O11" i="8"/>
  <c r="O10" i="8"/>
  <c r="O9" i="8"/>
  <c r="O8" i="8"/>
  <c r="O7" i="8"/>
  <c r="O6" i="8"/>
  <c r="O5" i="8"/>
  <c r="O4" i="8"/>
  <c r="J23" i="8"/>
  <c r="J22" i="8"/>
  <c r="J21" i="8"/>
  <c r="J20" i="8"/>
  <c r="J19" i="8"/>
  <c r="J18" i="8"/>
  <c r="J17" i="8"/>
  <c r="J16" i="8"/>
  <c r="J38" i="8" s="1"/>
  <c r="J15" i="8"/>
  <c r="J37" i="8" s="1"/>
  <c r="J14" i="8"/>
  <c r="J36" i="8" s="1"/>
  <c r="J13" i="8"/>
  <c r="J35" i="8" s="1"/>
  <c r="J12" i="8"/>
  <c r="J34" i="8" s="1"/>
  <c r="J11" i="8"/>
  <c r="J33" i="8" s="1"/>
  <c r="J10" i="8"/>
  <c r="J9" i="8"/>
  <c r="J8" i="8"/>
  <c r="J7" i="8"/>
  <c r="J6" i="8"/>
  <c r="J5" i="8"/>
  <c r="S11" i="1"/>
  <c r="D23" i="8"/>
  <c r="D22" i="8"/>
  <c r="D21" i="8"/>
  <c r="D20" i="8"/>
  <c r="D19" i="8"/>
  <c r="D18" i="8"/>
  <c r="D17" i="8"/>
  <c r="D16" i="8"/>
  <c r="D15" i="8"/>
  <c r="D14" i="8"/>
  <c r="D13" i="8"/>
  <c r="D12" i="8"/>
  <c r="D11" i="8"/>
  <c r="D10" i="8"/>
  <c r="D9" i="8"/>
  <c r="D8" i="8"/>
  <c r="D7" i="8"/>
  <c r="D6" i="8"/>
  <c r="D5" i="8"/>
  <c r="D4" i="8"/>
  <c r="A23" i="8"/>
  <c r="B22" i="8"/>
  <c r="A22" i="8"/>
  <c r="B21" i="8"/>
  <c r="A21" i="8"/>
  <c r="B20" i="8"/>
  <c r="A20" i="8"/>
  <c r="B19" i="8"/>
  <c r="A19" i="8"/>
  <c r="B18" i="8"/>
  <c r="A18" i="8"/>
  <c r="B17" i="8"/>
  <c r="A17" i="8"/>
  <c r="B16" i="8"/>
  <c r="A16" i="8"/>
  <c r="B15" i="8"/>
  <c r="A15" i="8"/>
  <c r="B14" i="8"/>
  <c r="A14" i="8"/>
  <c r="B13" i="8"/>
  <c r="A13" i="8"/>
  <c r="B12" i="8"/>
  <c r="A12" i="8"/>
  <c r="B11" i="8"/>
  <c r="A11" i="8"/>
  <c r="B10" i="8"/>
  <c r="A10" i="8"/>
  <c r="B9" i="8"/>
  <c r="A9" i="8"/>
  <c r="B8" i="8"/>
  <c r="A8" i="8"/>
  <c r="B7" i="8"/>
  <c r="A7" i="8"/>
  <c r="B6" i="8"/>
  <c r="A6" i="8"/>
  <c r="B5" i="8"/>
  <c r="A5" i="8"/>
  <c r="B4" i="8"/>
  <c r="A4" i="8"/>
  <c r="G17" i="6"/>
  <c r="D45" i="7"/>
  <c r="I45" i="7" s="1"/>
  <c r="H73" i="7"/>
  <c r="G73" i="7"/>
  <c r="F73" i="7"/>
  <c r="E73" i="7"/>
  <c r="I73" i="7"/>
  <c r="D73" i="7"/>
  <c r="H72" i="7"/>
  <c r="G72" i="7"/>
  <c r="I72" i="7" s="1"/>
  <c r="F72" i="7"/>
  <c r="E72" i="7"/>
  <c r="D72" i="7"/>
  <c r="H71" i="7"/>
  <c r="G71" i="7"/>
  <c r="F71" i="7"/>
  <c r="E71" i="7"/>
  <c r="D71" i="7"/>
  <c r="I71" i="7" s="1"/>
  <c r="H70" i="7"/>
  <c r="G70" i="7"/>
  <c r="F70" i="7"/>
  <c r="E70" i="7"/>
  <c r="D70" i="7"/>
  <c r="H69" i="7"/>
  <c r="G69" i="7"/>
  <c r="I69" i="7" s="1"/>
  <c r="F69" i="7"/>
  <c r="E69" i="7"/>
  <c r="D69" i="7"/>
  <c r="H68" i="7"/>
  <c r="G68" i="7"/>
  <c r="I68" i="7" s="1"/>
  <c r="F68" i="7"/>
  <c r="E68" i="7"/>
  <c r="D68" i="7"/>
  <c r="H67" i="7"/>
  <c r="G67" i="7"/>
  <c r="F67" i="7"/>
  <c r="E67" i="7"/>
  <c r="I67" i="7" s="1"/>
  <c r="D67" i="7"/>
  <c r="H66" i="7"/>
  <c r="G66" i="7"/>
  <c r="G74" i="7" s="1"/>
  <c r="F66" i="7"/>
  <c r="E66" i="7"/>
  <c r="D66" i="7"/>
  <c r="I66" i="7"/>
  <c r="H65" i="7"/>
  <c r="G65" i="7"/>
  <c r="F65" i="7"/>
  <c r="E65" i="7"/>
  <c r="I65" i="7" s="1"/>
  <c r="D65" i="7"/>
  <c r="D64" i="7"/>
  <c r="B73" i="7"/>
  <c r="B72" i="7"/>
  <c r="B71" i="7"/>
  <c r="B70" i="7"/>
  <c r="B69" i="7"/>
  <c r="B68" i="7"/>
  <c r="B67" i="7"/>
  <c r="B66" i="7"/>
  <c r="B65" i="7"/>
  <c r="H64" i="7"/>
  <c r="G64" i="7"/>
  <c r="F64" i="7"/>
  <c r="E64" i="7"/>
  <c r="I64" i="7" s="1"/>
  <c r="H63" i="7"/>
  <c r="G63" i="7"/>
  <c r="F63" i="7"/>
  <c r="F74" i="7" s="1"/>
  <c r="E63" i="7"/>
  <c r="E74" i="7" s="1"/>
  <c r="D63" i="7"/>
  <c r="H62" i="7"/>
  <c r="H74" i="7" s="1"/>
  <c r="G62" i="7"/>
  <c r="F62" i="7"/>
  <c r="E62" i="7"/>
  <c r="D62" i="7"/>
  <c r="I62" i="7" s="1"/>
  <c r="B72" i="6"/>
  <c r="K140" i="1"/>
  <c r="H45" i="7"/>
  <c r="G45" i="7"/>
  <c r="F45" i="7"/>
  <c r="E45" i="7"/>
  <c r="I16" i="7"/>
  <c r="I89" i="7"/>
  <c r="D87" i="7"/>
  <c r="D80" i="7"/>
  <c r="B64" i="7"/>
  <c r="I42" i="7"/>
  <c r="I41" i="7"/>
  <c r="I40" i="7"/>
  <c r="I39" i="7"/>
  <c r="I38" i="7"/>
  <c r="I37" i="7"/>
  <c r="I36" i="7"/>
  <c r="I35" i="7"/>
  <c r="I34" i="7"/>
  <c r="I33" i="7"/>
  <c r="I32" i="7"/>
  <c r="B63" i="7"/>
  <c r="I30" i="7"/>
  <c r="I29" i="7"/>
  <c r="I28" i="7"/>
  <c r="I27" i="7"/>
  <c r="I26" i="7"/>
  <c r="I25" i="7"/>
  <c r="I24" i="7"/>
  <c r="I23" i="7"/>
  <c r="I22" i="7"/>
  <c r="I21" i="7"/>
  <c r="I20" i="7"/>
  <c r="I19" i="7"/>
  <c r="I18" i="7"/>
  <c r="I17" i="7"/>
  <c r="B17" i="7"/>
  <c r="B16" i="7"/>
  <c r="I14" i="7"/>
  <c r="I13" i="7"/>
  <c r="I12" i="7"/>
  <c r="I11" i="7"/>
  <c r="I10" i="7"/>
  <c r="I9" i="7"/>
  <c r="H87" i="7"/>
  <c r="F83" i="7"/>
  <c r="G87" i="7"/>
  <c r="D83" i="7"/>
  <c r="E87" i="7"/>
  <c r="F87" i="7"/>
  <c r="A44" i="6"/>
  <c r="D71" i="6"/>
  <c r="E71" i="6"/>
  <c r="F71" i="6"/>
  <c r="G71" i="6"/>
  <c r="H71" i="6"/>
  <c r="D70" i="6"/>
  <c r="E70" i="6"/>
  <c r="F70" i="6"/>
  <c r="G70" i="6"/>
  <c r="H70" i="6"/>
  <c r="E69" i="6"/>
  <c r="F69" i="6"/>
  <c r="G69" i="6"/>
  <c r="H69" i="6"/>
  <c r="D68" i="6"/>
  <c r="E68" i="6"/>
  <c r="F68" i="6"/>
  <c r="G68" i="6"/>
  <c r="H68" i="6"/>
  <c r="D67" i="6"/>
  <c r="E67" i="6"/>
  <c r="F67" i="6"/>
  <c r="G67" i="6"/>
  <c r="H67" i="6"/>
  <c r="D66" i="6"/>
  <c r="E66" i="6"/>
  <c r="F66" i="6"/>
  <c r="G66" i="6"/>
  <c r="H66" i="6"/>
  <c r="D65" i="6"/>
  <c r="E65" i="6"/>
  <c r="F65" i="6"/>
  <c r="G65" i="6"/>
  <c r="H65" i="6"/>
  <c r="D34" i="6"/>
  <c r="D64" i="6" s="1"/>
  <c r="E34" i="6"/>
  <c r="E64" i="6" s="1"/>
  <c r="F34" i="6"/>
  <c r="F64" i="6" s="1"/>
  <c r="G34" i="6"/>
  <c r="G64" i="6" s="1"/>
  <c r="H34" i="6"/>
  <c r="H64" i="6" s="1"/>
  <c r="D33" i="6"/>
  <c r="E33" i="6"/>
  <c r="E63" i="6" s="1"/>
  <c r="F33" i="6"/>
  <c r="F63" i="6" s="1"/>
  <c r="G33" i="6"/>
  <c r="G63" i="6" s="1"/>
  <c r="H33" i="6"/>
  <c r="H63" i="6" s="1"/>
  <c r="H32" i="6"/>
  <c r="H62" i="6" s="1"/>
  <c r="G32" i="6"/>
  <c r="G62" i="6" s="1"/>
  <c r="F32" i="6"/>
  <c r="F62" i="6" s="1"/>
  <c r="E32" i="6"/>
  <c r="E62" i="6" s="1"/>
  <c r="D32" i="6"/>
  <c r="D62" i="6" s="1"/>
  <c r="B71" i="6"/>
  <c r="B70" i="6"/>
  <c r="B69" i="6"/>
  <c r="B68" i="6"/>
  <c r="B67" i="6"/>
  <c r="B66" i="6"/>
  <c r="B65" i="6"/>
  <c r="B64" i="6"/>
  <c r="B33" i="6"/>
  <c r="B63" i="6" s="1"/>
  <c r="B32" i="6"/>
  <c r="B62" i="6" s="1"/>
  <c r="H30" i="6"/>
  <c r="G30" i="6"/>
  <c r="F30" i="6"/>
  <c r="E30" i="6"/>
  <c r="D30" i="6"/>
  <c r="H29" i="6"/>
  <c r="G29" i="6"/>
  <c r="F29" i="6"/>
  <c r="E29" i="6"/>
  <c r="D29" i="6"/>
  <c r="H28" i="6"/>
  <c r="G28" i="6"/>
  <c r="F28" i="6"/>
  <c r="E28" i="6"/>
  <c r="D28" i="6"/>
  <c r="H27" i="6"/>
  <c r="G27" i="6"/>
  <c r="F27" i="6"/>
  <c r="E27" i="6"/>
  <c r="D27" i="6"/>
  <c r="H26" i="6"/>
  <c r="G26" i="6"/>
  <c r="F26" i="6"/>
  <c r="E26" i="6"/>
  <c r="D26" i="6"/>
  <c r="H25" i="6"/>
  <c r="G25" i="6"/>
  <c r="F25" i="6"/>
  <c r="E25" i="6"/>
  <c r="D25" i="6"/>
  <c r="H24" i="6"/>
  <c r="G24" i="6"/>
  <c r="F24" i="6"/>
  <c r="E24" i="6"/>
  <c r="D24" i="6"/>
  <c r="H23" i="6"/>
  <c r="G23" i="6"/>
  <c r="F23" i="6"/>
  <c r="E23" i="6"/>
  <c r="D23" i="6"/>
  <c r="H22" i="6"/>
  <c r="G22" i="6"/>
  <c r="F22" i="6"/>
  <c r="E22" i="6"/>
  <c r="D22" i="6"/>
  <c r="H21" i="6"/>
  <c r="G21" i="6"/>
  <c r="F21" i="6"/>
  <c r="E21" i="6"/>
  <c r="D21" i="6"/>
  <c r="H20" i="6"/>
  <c r="G20" i="6"/>
  <c r="F20" i="6"/>
  <c r="E20" i="6"/>
  <c r="D20" i="6"/>
  <c r="H19" i="6"/>
  <c r="G19" i="6"/>
  <c r="F19" i="6"/>
  <c r="E19" i="6"/>
  <c r="D19" i="6"/>
  <c r="H18" i="6"/>
  <c r="G18" i="6"/>
  <c r="F18" i="6"/>
  <c r="E18" i="6"/>
  <c r="D18" i="6"/>
  <c r="H17" i="6"/>
  <c r="F17" i="6"/>
  <c r="E17" i="6"/>
  <c r="D17" i="6"/>
  <c r="B30" i="6"/>
  <c r="B29" i="6"/>
  <c r="B28" i="6"/>
  <c r="B27" i="6"/>
  <c r="B26" i="6"/>
  <c r="B25" i="6"/>
  <c r="B24" i="6"/>
  <c r="B23" i="6"/>
  <c r="B22" i="6"/>
  <c r="B21" i="6"/>
  <c r="B20" i="6"/>
  <c r="B19" i="6"/>
  <c r="B18" i="6"/>
  <c r="B17" i="6"/>
  <c r="B16" i="6"/>
  <c r="A45" i="6"/>
  <c r="P152" i="1"/>
  <c r="P149" i="1"/>
  <c r="P151" i="1"/>
  <c r="P150" i="1"/>
  <c r="P148" i="1"/>
  <c r="C1" i="6"/>
  <c r="D79" i="6" s="1"/>
  <c r="I88" i="6"/>
  <c r="D86" i="6"/>
  <c r="P143" i="1"/>
  <c r="C158" i="5"/>
  <c r="K158" i="5" s="1"/>
  <c r="P76" i="5"/>
  <c r="O155" i="5"/>
  <c r="O187" i="1" s="1"/>
  <c r="N155" i="5"/>
  <c r="N187" i="1"/>
  <c r="M155" i="5"/>
  <c r="M187" i="1"/>
  <c r="L155" i="5"/>
  <c r="L187" i="1" s="1"/>
  <c r="K155" i="5"/>
  <c r="K187" i="1" s="1"/>
  <c r="P154" i="5"/>
  <c r="P153" i="5"/>
  <c r="P152" i="5"/>
  <c r="P151" i="5"/>
  <c r="P150" i="5"/>
  <c r="P149" i="5"/>
  <c r="P148" i="5"/>
  <c r="P147" i="5"/>
  <c r="P146" i="5"/>
  <c r="P145" i="5"/>
  <c r="P144" i="5"/>
  <c r="P143" i="5"/>
  <c r="P142" i="5"/>
  <c r="P141" i="5"/>
  <c r="J135" i="5"/>
  <c r="I135" i="5"/>
  <c r="H135" i="5"/>
  <c r="G135" i="5"/>
  <c r="F135" i="5"/>
  <c r="P128" i="5"/>
  <c r="P127" i="5"/>
  <c r="P126" i="5"/>
  <c r="P125" i="5"/>
  <c r="P124" i="5"/>
  <c r="P123" i="5"/>
  <c r="P122" i="5"/>
  <c r="P121" i="5"/>
  <c r="P120" i="5"/>
  <c r="P119" i="5"/>
  <c r="P115" i="5"/>
  <c r="P114" i="5"/>
  <c r="P113" i="5"/>
  <c r="P112" i="5"/>
  <c r="P111" i="5"/>
  <c r="P110" i="5"/>
  <c r="P109" i="5"/>
  <c r="P108" i="5"/>
  <c r="P107" i="5"/>
  <c r="P106" i="5"/>
  <c r="P105" i="5"/>
  <c r="P104" i="5"/>
  <c r="P103" i="5"/>
  <c r="P102" i="5"/>
  <c r="P98" i="5"/>
  <c r="P97" i="5"/>
  <c r="P96" i="5"/>
  <c r="P95" i="5"/>
  <c r="P94" i="5"/>
  <c r="P93" i="5"/>
  <c r="P92" i="5"/>
  <c r="P91" i="5"/>
  <c r="P90" i="5"/>
  <c r="P89" i="5"/>
  <c r="P88" i="5"/>
  <c r="P87" i="5"/>
  <c r="P86" i="5"/>
  <c r="P85" i="5"/>
  <c r="P84" i="5"/>
  <c r="P78" i="5"/>
  <c r="P77" i="5"/>
  <c r="P75" i="5"/>
  <c r="P74" i="5"/>
  <c r="P73" i="5"/>
  <c r="P72" i="5"/>
  <c r="P71" i="5"/>
  <c r="P70" i="5"/>
  <c r="P69" i="5"/>
  <c r="P68" i="5"/>
  <c r="P67" i="5"/>
  <c r="P66" i="5"/>
  <c r="P65" i="5"/>
  <c r="P64" i="5"/>
  <c r="P60" i="5"/>
  <c r="P59" i="5"/>
  <c r="P58" i="5"/>
  <c r="P57" i="5"/>
  <c r="B52" i="5"/>
  <c r="A52" i="5"/>
  <c r="B51" i="5"/>
  <c r="A51" i="5"/>
  <c r="B50" i="5"/>
  <c r="A50" i="5"/>
  <c r="B49" i="5"/>
  <c r="A49" i="5"/>
  <c r="B48" i="5"/>
  <c r="A48" i="5"/>
  <c r="B47" i="5"/>
  <c r="A47" i="5"/>
  <c r="B46" i="5"/>
  <c r="A46" i="5"/>
  <c r="B45" i="5"/>
  <c r="A45" i="5"/>
  <c r="B44" i="5"/>
  <c r="A44" i="5"/>
  <c r="B43" i="5"/>
  <c r="A43" i="5"/>
  <c r="B42" i="5"/>
  <c r="A42" i="5"/>
  <c r="B41" i="5"/>
  <c r="A41" i="5"/>
  <c r="B40" i="5"/>
  <c r="A40" i="5"/>
  <c r="B39" i="5"/>
  <c r="A39" i="5"/>
  <c r="B38" i="5"/>
  <c r="A38" i="5"/>
  <c r="B37" i="5"/>
  <c r="A37" i="5"/>
  <c r="B36" i="5"/>
  <c r="A36" i="5"/>
  <c r="B35" i="5"/>
  <c r="A35" i="5"/>
  <c r="B34" i="5"/>
  <c r="A34" i="5"/>
  <c r="B33" i="5"/>
  <c r="A33" i="5"/>
  <c r="K3" i="5"/>
  <c r="O3" i="5"/>
  <c r="C2" i="5"/>
  <c r="C1" i="5"/>
  <c r="P116" i="5"/>
  <c r="P99" i="5"/>
  <c r="J20" i="2"/>
  <c r="P137" i="1"/>
  <c r="P141" i="1"/>
  <c r="K136" i="1"/>
  <c r="L136" i="1" s="1"/>
  <c r="K134" i="1"/>
  <c r="L134" i="1" s="1"/>
  <c r="O82" i="1"/>
  <c r="N82" i="1"/>
  <c r="M82" i="1"/>
  <c r="L82" i="1"/>
  <c r="K82" i="1"/>
  <c r="O81" i="1"/>
  <c r="N81" i="1"/>
  <c r="M81" i="1"/>
  <c r="L81" i="1"/>
  <c r="K81" i="1"/>
  <c r="A159" i="2"/>
  <c r="A158" i="2"/>
  <c r="A157" i="2"/>
  <c r="A156" i="2"/>
  <c r="A155" i="2"/>
  <c r="A154" i="2"/>
  <c r="A153" i="2"/>
  <c r="A152" i="2"/>
  <c r="A151" i="2"/>
  <c r="A150" i="2"/>
  <c r="A149" i="2"/>
  <c r="A148" i="2"/>
  <c r="A147" i="2"/>
  <c r="A146" i="2"/>
  <c r="A145" i="2"/>
  <c r="A144" i="2"/>
  <c r="A143" i="2"/>
  <c r="A142" i="2"/>
  <c r="A141" i="2"/>
  <c r="A140" i="2"/>
  <c r="K5" i="1"/>
  <c r="K138" i="1"/>
  <c r="L138" i="1" s="1"/>
  <c r="L140" i="1"/>
  <c r="M140" i="1"/>
  <c r="K142" i="1"/>
  <c r="L142" i="1"/>
  <c r="M142" i="1"/>
  <c r="K144" i="1"/>
  <c r="M108" i="1"/>
  <c r="F11" i="6" s="1"/>
  <c r="N108" i="1"/>
  <c r="G11" i="6" s="1"/>
  <c r="O108" i="1"/>
  <c r="H11" i="6" s="1"/>
  <c r="K63" i="1"/>
  <c r="D12" i="6" s="1"/>
  <c r="K90" i="1"/>
  <c r="D41" i="6" s="1"/>
  <c r="D72" i="6" s="1"/>
  <c r="K132" i="1"/>
  <c r="L132" i="1" s="1"/>
  <c r="M132" i="1" s="1"/>
  <c r="L63" i="1"/>
  <c r="E12" i="6"/>
  <c r="E61" i="6" s="1"/>
  <c r="L90" i="1"/>
  <c r="E41" i="6" s="1"/>
  <c r="M63" i="1"/>
  <c r="F12" i="6" s="1"/>
  <c r="F61" i="6" s="1"/>
  <c r="M90" i="1"/>
  <c r="F41" i="6" s="1"/>
  <c r="F72" i="6" s="1"/>
  <c r="O63" i="1"/>
  <c r="H12" i="6" s="1"/>
  <c r="H61" i="6" s="1"/>
  <c r="O90" i="1"/>
  <c r="H41" i="6" s="1"/>
  <c r="H72" i="6" s="1"/>
  <c r="N63" i="1"/>
  <c r="G12" i="6" s="1"/>
  <c r="G61" i="6" s="1"/>
  <c r="N90" i="1"/>
  <c r="G41" i="6" s="1"/>
  <c r="G72" i="6" s="1"/>
  <c r="P59" i="1"/>
  <c r="I171" i="1"/>
  <c r="A173" i="1"/>
  <c r="J171" i="1"/>
  <c r="H171" i="1"/>
  <c r="G171" i="1"/>
  <c r="F171" i="1"/>
  <c r="P164" i="1"/>
  <c r="P163" i="1"/>
  <c r="P162" i="1"/>
  <c r="P161" i="1"/>
  <c r="P160" i="1"/>
  <c r="P159" i="1"/>
  <c r="P158" i="1"/>
  <c r="P157" i="1"/>
  <c r="P156" i="1"/>
  <c r="P139" i="1"/>
  <c r="P135" i="1"/>
  <c r="P133" i="1"/>
  <c r="P131" i="1"/>
  <c r="P129" i="1"/>
  <c r="P124" i="1"/>
  <c r="P123" i="1"/>
  <c r="P122" i="1"/>
  <c r="P121" i="1"/>
  <c r="P120" i="1"/>
  <c r="P105" i="1"/>
  <c r="P104" i="1"/>
  <c r="P103" i="1"/>
  <c r="P102" i="1"/>
  <c r="P101" i="1"/>
  <c r="P100" i="1"/>
  <c r="P125" i="1"/>
  <c r="P119" i="1"/>
  <c r="P118" i="1"/>
  <c r="P117" i="1"/>
  <c r="P116" i="1"/>
  <c r="P115" i="1"/>
  <c r="P114" i="1"/>
  <c r="P113" i="1"/>
  <c r="P112" i="1"/>
  <c r="P99" i="1"/>
  <c r="P107" i="1"/>
  <c r="P106" i="1"/>
  <c r="P98" i="1"/>
  <c r="P97" i="1"/>
  <c r="P89" i="1"/>
  <c r="P88" i="1"/>
  <c r="P86" i="1"/>
  <c r="P87" i="1"/>
  <c r="P80" i="1"/>
  <c r="P78" i="1"/>
  <c r="P74" i="1"/>
  <c r="P71" i="1"/>
  <c r="P79" i="1"/>
  <c r="P77" i="1"/>
  <c r="P76" i="1"/>
  <c r="P75" i="1"/>
  <c r="P73" i="1"/>
  <c r="P72" i="1"/>
  <c r="P70" i="1"/>
  <c r="P69" i="1"/>
  <c r="P68" i="1"/>
  <c r="P67" i="1"/>
  <c r="P66" i="1"/>
  <c r="P62" i="1"/>
  <c r="P61" i="1"/>
  <c r="P60" i="1"/>
  <c r="W12" i="1"/>
  <c r="U12" i="1"/>
  <c r="W11" i="1"/>
  <c r="U11" i="1"/>
  <c r="A56" i="2"/>
  <c r="A55" i="2"/>
  <c r="A54" i="2"/>
  <c r="A53" i="2"/>
  <c r="A52" i="2"/>
  <c r="A51" i="2"/>
  <c r="A50" i="2"/>
  <c r="A49" i="2"/>
  <c r="A48" i="2"/>
  <c r="A47" i="2"/>
  <c r="A46" i="2"/>
  <c r="A45" i="2"/>
  <c r="A44" i="2"/>
  <c r="A43" i="2"/>
  <c r="A42" i="2"/>
  <c r="A41" i="2"/>
  <c r="A40" i="2"/>
  <c r="A39" i="2"/>
  <c r="A38" i="2"/>
  <c r="A37" i="2"/>
  <c r="A54" i="1"/>
  <c r="A53" i="1"/>
  <c r="A52" i="1"/>
  <c r="A51" i="1"/>
  <c r="A50" i="1"/>
  <c r="A49" i="1"/>
  <c r="A48" i="1"/>
  <c r="A47" i="1"/>
  <c r="A46" i="1"/>
  <c r="A45" i="1"/>
  <c r="A44" i="1"/>
  <c r="A43" i="1"/>
  <c r="A42" i="1"/>
  <c r="A41" i="1"/>
  <c r="A40" i="1"/>
  <c r="A39" i="1"/>
  <c r="A38" i="1"/>
  <c r="A37" i="1"/>
  <c r="A36" i="1"/>
  <c r="A35" i="1"/>
  <c r="B35" i="1"/>
  <c r="B54" i="1"/>
  <c r="B53" i="1"/>
  <c r="B52" i="1"/>
  <c r="B51" i="1"/>
  <c r="B50" i="1"/>
  <c r="B49" i="1"/>
  <c r="B48" i="1"/>
  <c r="B47" i="1"/>
  <c r="B46" i="1"/>
  <c r="B44" i="1"/>
  <c r="B43" i="1"/>
  <c r="B42" i="1"/>
  <c r="B41" i="1"/>
  <c r="B40" i="1"/>
  <c r="B39" i="1"/>
  <c r="B38" i="1"/>
  <c r="B37" i="1"/>
  <c r="B36" i="1"/>
  <c r="L144" i="1"/>
  <c r="M144" i="1"/>
  <c r="N144" i="1"/>
  <c r="O144" i="1"/>
  <c r="N140" i="1"/>
  <c r="O140" i="1"/>
  <c r="N142" i="1"/>
  <c r="O142" i="1"/>
  <c r="I63" i="7"/>
  <c r="I61" i="7"/>
  <c r="P155" i="5"/>
  <c r="P187" i="1" s="1"/>
  <c r="P129" i="5"/>
  <c r="K81" i="5"/>
  <c r="L83" i="1"/>
  <c r="E10" i="6" s="1"/>
  <c r="I43" i="7"/>
  <c r="I70" i="7"/>
  <c r="F136" i="5"/>
  <c r="K108" i="1"/>
  <c r="D11" i="6" s="1"/>
  <c r="L108" i="1"/>
  <c r="E11" i="6" s="1"/>
  <c r="P94" i="1"/>
  <c r="P95" i="1"/>
  <c r="P96" i="1"/>
  <c r="P93" i="1"/>
  <c r="K83" i="1" l="1"/>
  <c r="D10" i="6" s="1"/>
  <c r="M83" i="1"/>
  <c r="F10" i="6" s="1"/>
  <c r="O83" i="1"/>
  <c r="H10" i="6" s="1"/>
  <c r="I22" i="6"/>
  <c r="I26" i="6"/>
  <c r="M138" i="1"/>
  <c r="N138" i="1" s="1"/>
  <c r="S12" i="2"/>
  <c r="O12" i="2"/>
  <c r="L12" i="2"/>
  <c r="Q12" i="2"/>
  <c r="P12" i="2"/>
  <c r="R12" i="2"/>
  <c r="T12" i="2"/>
  <c r="M12" i="2"/>
  <c r="N12" i="2"/>
  <c r="O34" i="8"/>
  <c r="Y34" i="8"/>
  <c r="E32" i="8"/>
  <c r="O32" i="8"/>
  <c r="Y32" i="8"/>
  <c r="O33" i="8"/>
  <c r="Y33" i="8"/>
  <c r="E34" i="8"/>
  <c r="E33" i="8"/>
  <c r="J32" i="8"/>
  <c r="T32" i="8"/>
  <c r="AD38" i="8"/>
  <c r="AD37" i="8"/>
  <c r="AD36" i="8"/>
  <c r="AD35" i="8"/>
  <c r="I74" i="7"/>
  <c r="I33" i="6"/>
  <c r="I63" i="6" s="1"/>
  <c r="P80" i="5"/>
  <c r="P81" i="5" s="1"/>
  <c r="I32" i="6"/>
  <c r="I62" i="6" s="1"/>
  <c r="D74" i="7"/>
  <c r="I17" i="6"/>
  <c r="E27" i="8"/>
  <c r="I36" i="6"/>
  <c r="I67" i="6" s="1"/>
  <c r="P144" i="1"/>
  <c r="I37" i="6"/>
  <c r="I68" i="6" s="1"/>
  <c r="I65" i="6"/>
  <c r="D63" i="6"/>
  <c r="P145" i="1"/>
  <c r="B131" i="2"/>
  <c r="E131" i="2"/>
  <c r="K12" i="2"/>
  <c r="J31" i="8"/>
  <c r="O31" i="8"/>
  <c r="T31" i="8"/>
  <c r="E31" i="8"/>
  <c r="Y31" i="8"/>
  <c r="O27" i="8"/>
  <c r="T27" i="8"/>
  <c r="Y27" i="8"/>
  <c r="J27" i="8"/>
  <c r="I34" i="6"/>
  <c r="I64" i="6" s="1"/>
  <c r="I40" i="6"/>
  <c r="I71" i="6" s="1"/>
  <c r="I66" i="6"/>
  <c r="I38" i="6"/>
  <c r="I69" i="6" s="1"/>
  <c r="I39" i="6"/>
  <c r="I70" i="6" s="1"/>
  <c r="D60" i="6"/>
  <c r="P142" i="1"/>
  <c r="N83" i="1"/>
  <c r="G10" i="6" s="1"/>
  <c r="P82" i="1"/>
  <c r="P165" i="1"/>
  <c r="I18" i="6"/>
  <c r="I19" i="6"/>
  <c r="I20" i="6"/>
  <c r="I21" i="6"/>
  <c r="I23" i="6"/>
  <c r="I24" i="6"/>
  <c r="I25" i="6"/>
  <c r="I27" i="6"/>
  <c r="I28" i="6"/>
  <c r="I29" i="6"/>
  <c r="I30" i="6"/>
  <c r="P140" i="1"/>
  <c r="I14" i="6"/>
  <c r="I13" i="6"/>
  <c r="C131" i="2"/>
  <c r="A116" i="2"/>
  <c r="F131" i="2"/>
  <c r="L7" i="1"/>
  <c r="L4" i="5" s="1"/>
  <c r="E6" i="6"/>
  <c r="C3" i="2"/>
  <c r="L2" i="5"/>
  <c r="I11" i="6"/>
  <c r="I12" i="6"/>
  <c r="I61" i="6" s="1"/>
  <c r="D61" i="6"/>
  <c r="M134" i="1"/>
  <c r="N134" i="1" s="1"/>
  <c r="M136" i="1"/>
  <c r="N136" i="1" s="1"/>
  <c r="E72" i="6"/>
  <c r="I41" i="6"/>
  <c r="I72" i="6" s="1"/>
  <c r="M130" i="1"/>
  <c r="N130" i="1" s="1"/>
  <c r="O130" i="1" s="1"/>
  <c r="E60" i="6"/>
  <c r="N5" i="1"/>
  <c r="N7" i="1" s="1"/>
  <c r="M7" i="1"/>
  <c r="M4" i="5" s="1"/>
  <c r="M2" i="5"/>
  <c r="N132" i="1"/>
  <c r="O132" i="1" s="1"/>
  <c r="P132" i="1" s="1"/>
  <c r="D69" i="6"/>
  <c r="P153" i="1"/>
  <c r="P63" i="1"/>
  <c r="P81" i="1"/>
  <c r="P108" i="1"/>
  <c r="P90" i="1"/>
  <c r="D12" i="2"/>
  <c r="H12" i="2"/>
  <c r="F6" i="6"/>
  <c r="C12" i="2"/>
  <c r="F12" i="2"/>
  <c r="G12" i="2"/>
  <c r="I12" i="2"/>
  <c r="J12" i="2"/>
  <c r="E12" i="2"/>
  <c r="B12" i="2"/>
  <c r="K7" i="1"/>
  <c r="K2" i="5"/>
  <c r="D6" i="6"/>
  <c r="I10" i="6" l="1"/>
  <c r="O138" i="1"/>
  <c r="P138" i="1" s="1"/>
  <c r="S13" i="2"/>
  <c r="O13" i="2"/>
  <c r="L13" i="2"/>
  <c r="R13" i="2"/>
  <c r="T13" i="2"/>
  <c r="Q13" i="2"/>
  <c r="M13" i="2"/>
  <c r="P13" i="2"/>
  <c r="N13" i="2"/>
  <c r="K13" i="2"/>
  <c r="AD34" i="8"/>
  <c r="AD33" i="8"/>
  <c r="AD32" i="8"/>
  <c r="AD27" i="8"/>
  <c r="AD31" i="8"/>
  <c r="B4" i="2"/>
  <c r="D3" i="2"/>
  <c r="D73" i="6"/>
  <c r="E7" i="6"/>
  <c r="E85" i="6" s="1"/>
  <c r="I13" i="2"/>
  <c r="F7" i="6"/>
  <c r="F7" i="7" s="1"/>
  <c r="F54" i="7" s="1"/>
  <c r="P83" i="1"/>
  <c r="F13" i="2"/>
  <c r="J13" i="2"/>
  <c r="O136" i="1"/>
  <c r="G131" i="2"/>
  <c r="P130" i="1"/>
  <c r="O134" i="1"/>
  <c r="P134" i="1" s="1"/>
  <c r="H13" i="2"/>
  <c r="E6" i="7"/>
  <c r="E85" i="7" s="1"/>
  <c r="E84" i="6"/>
  <c r="D13" i="2"/>
  <c r="E13" i="2"/>
  <c r="B13" i="2"/>
  <c r="G13" i="2"/>
  <c r="C13" i="2"/>
  <c r="P136" i="1"/>
  <c r="E73" i="6"/>
  <c r="F60" i="6"/>
  <c r="F73" i="6" s="1"/>
  <c r="G60" i="6"/>
  <c r="G73" i="6" s="1"/>
  <c r="O5" i="1"/>
  <c r="G6" i="6"/>
  <c r="N2" i="5"/>
  <c r="N4" i="5"/>
  <c r="G7" i="6"/>
  <c r="F6" i="7"/>
  <c r="F85" i="7" s="1"/>
  <c r="F84" i="6"/>
  <c r="D6" i="7"/>
  <c r="D85" i="7" s="1"/>
  <c r="D84" i="6"/>
  <c r="D4" i="6"/>
  <c r="D82" i="6" s="1"/>
  <c r="D7" i="6"/>
  <c r="K4" i="5"/>
  <c r="Y80" i="2" l="1"/>
  <c r="V62" i="2"/>
  <c r="Y79" i="2"/>
  <c r="Y78" i="2"/>
  <c r="Y77" i="2"/>
  <c r="Y75" i="2"/>
  <c r="Y76" i="2"/>
  <c r="N140" i="2"/>
  <c r="V67" i="2"/>
  <c r="V66" i="2"/>
  <c r="V65" i="2"/>
  <c r="V64" i="2"/>
  <c r="V71" i="2"/>
  <c r="D111" i="1" s="1"/>
  <c r="V63" i="2"/>
  <c r="H60" i="6"/>
  <c r="H73" i="6" s="1"/>
  <c r="O14" i="2"/>
  <c r="L14" i="2"/>
  <c r="T14" i="2"/>
  <c r="N14" i="2"/>
  <c r="Q14" i="2"/>
  <c r="M14" i="2"/>
  <c r="R14" i="2"/>
  <c r="P14" i="2"/>
  <c r="N37" i="2"/>
  <c r="D37" i="5"/>
  <c r="D36" i="5"/>
  <c r="B6" i="2"/>
  <c r="B7" i="2" s="1"/>
  <c r="D38" i="5"/>
  <c r="C4" i="2"/>
  <c r="Z76" i="2" s="1"/>
  <c r="E7" i="7"/>
  <c r="E86" i="7" s="1"/>
  <c r="D14" i="2"/>
  <c r="S14" i="2"/>
  <c r="H14" i="2"/>
  <c r="J14" i="2"/>
  <c r="E3" i="2"/>
  <c r="F14" i="2"/>
  <c r="I14" i="2"/>
  <c r="C14" i="2"/>
  <c r="G14" i="2"/>
  <c r="B14" i="2"/>
  <c r="F8" i="6"/>
  <c r="F86" i="6" s="1"/>
  <c r="K14" i="2"/>
  <c r="E14" i="2"/>
  <c r="E53" i="6"/>
  <c r="E8" i="6"/>
  <c r="E86" i="6" s="1"/>
  <c r="F53" i="6"/>
  <c r="F85" i="6"/>
  <c r="F86" i="7"/>
  <c r="O7" i="1"/>
  <c r="O2" i="5"/>
  <c r="H6" i="6"/>
  <c r="G6" i="7"/>
  <c r="G85" i="7" s="1"/>
  <c r="G84" i="6"/>
  <c r="G8" i="6"/>
  <c r="G86" i="6" s="1"/>
  <c r="G53" i="6"/>
  <c r="G7" i="7"/>
  <c r="G85" i="6"/>
  <c r="D85" i="6"/>
  <c r="D53" i="6"/>
  <c r="D7" i="7"/>
  <c r="I60" i="6" l="1"/>
  <c r="I73" i="6" s="1"/>
  <c r="Z79" i="2"/>
  <c r="W67" i="2"/>
  <c r="Z77" i="2"/>
  <c r="W65" i="2"/>
  <c r="Z80" i="2"/>
  <c r="Z78" i="2"/>
  <c r="AE78" i="2" s="1"/>
  <c r="Z75" i="2"/>
  <c r="AE75" i="2" s="1"/>
  <c r="W62" i="2"/>
  <c r="AB62" i="2" s="1"/>
  <c r="W66" i="2"/>
  <c r="AB66" i="2" s="1"/>
  <c r="W64" i="2"/>
  <c r="AB64" i="2" s="1"/>
  <c r="W63" i="2"/>
  <c r="E36" i="1" s="1"/>
  <c r="W71" i="2"/>
  <c r="E111" i="1" s="1"/>
  <c r="T15" i="2"/>
  <c r="Q15" i="2"/>
  <c r="M15" i="2"/>
  <c r="L15" i="2"/>
  <c r="P15" i="2"/>
  <c r="O15" i="2"/>
  <c r="R15" i="2"/>
  <c r="N15" i="2"/>
  <c r="S15" i="2"/>
  <c r="D35" i="5"/>
  <c r="G35" i="5" s="1"/>
  <c r="D4" i="2"/>
  <c r="D40" i="1"/>
  <c r="E38" i="5"/>
  <c r="I38" i="5"/>
  <c r="H38" i="5"/>
  <c r="G38" i="5"/>
  <c r="F38" i="5"/>
  <c r="O37" i="2"/>
  <c r="O38" i="2" s="1"/>
  <c r="O140" i="2"/>
  <c r="O141" i="2" s="1"/>
  <c r="F36" i="5"/>
  <c r="H36" i="5"/>
  <c r="E36" i="5"/>
  <c r="G36" i="5"/>
  <c r="I36" i="5"/>
  <c r="F37" i="5"/>
  <c r="H37" i="5"/>
  <c r="I37" i="5"/>
  <c r="G37" i="5"/>
  <c r="E37" i="5"/>
  <c r="D36" i="1"/>
  <c r="D34" i="5"/>
  <c r="E54" i="7"/>
  <c r="F3" i="2"/>
  <c r="C6" i="2"/>
  <c r="C7" i="2" s="1"/>
  <c r="AE80" i="2"/>
  <c r="AE79" i="2"/>
  <c r="AE76" i="2"/>
  <c r="I15" i="2"/>
  <c r="D39" i="1"/>
  <c r="J15" i="2"/>
  <c r="E15" i="2"/>
  <c r="F15" i="2"/>
  <c r="B15" i="2"/>
  <c r="D15" i="2"/>
  <c r="K15" i="2"/>
  <c r="H15" i="2"/>
  <c r="C15" i="2"/>
  <c r="G15" i="2"/>
  <c r="D35" i="1"/>
  <c r="D33" i="5"/>
  <c r="F33" i="5" s="1"/>
  <c r="F172" i="1"/>
  <c r="D46" i="7" s="1"/>
  <c r="D38" i="1"/>
  <c r="D37" i="1"/>
  <c r="O4" i="5"/>
  <c r="H7" i="6"/>
  <c r="H6" i="7"/>
  <c r="H85" i="7" s="1"/>
  <c r="H84" i="6"/>
  <c r="G54" i="7"/>
  <c r="G86" i="7"/>
  <c r="D54" i="7"/>
  <c r="D86" i="7"/>
  <c r="AA77" i="2" l="1"/>
  <c r="X71" i="2"/>
  <c r="AA76" i="2"/>
  <c r="AF76" i="2" s="1"/>
  <c r="G136" i="5" s="1"/>
  <c r="X63" i="2"/>
  <c r="AA75" i="2"/>
  <c r="AF75" i="2" s="1"/>
  <c r="X65" i="2"/>
  <c r="X64" i="2"/>
  <c r="X66" i="2"/>
  <c r="F39" i="1" s="1"/>
  <c r="X62" i="2"/>
  <c r="AA80" i="2"/>
  <c r="X67" i="2"/>
  <c r="AA79" i="2"/>
  <c r="AF79" i="2" s="1"/>
  <c r="AA78" i="2"/>
  <c r="AF78" i="2" s="1"/>
  <c r="P140" i="2"/>
  <c r="P141" i="2" s="1"/>
  <c r="F111" i="1"/>
  <c r="T16" i="2"/>
  <c r="Q16" i="2"/>
  <c r="O16" i="2"/>
  <c r="M16" i="2"/>
  <c r="P16" i="2"/>
  <c r="R16" i="2"/>
  <c r="N16" i="2"/>
  <c r="S16" i="2"/>
  <c r="E35" i="5"/>
  <c r="F35" i="5"/>
  <c r="H35" i="5"/>
  <c r="I35" i="5"/>
  <c r="G3" i="2"/>
  <c r="E39" i="1"/>
  <c r="D47" i="2"/>
  <c r="I14" i="8" s="1"/>
  <c r="D141" i="2"/>
  <c r="I141" i="2" s="1"/>
  <c r="K10" i="5" s="1"/>
  <c r="D150" i="2"/>
  <c r="I150" i="2" s="1"/>
  <c r="K19" i="5" s="1"/>
  <c r="K43" i="5" s="1"/>
  <c r="E34" i="5"/>
  <c r="I34" i="5"/>
  <c r="H34" i="5"/>
  <c r="G34" i="5"/>
  <c r="F34" i="5"/>
  <c r="D37" i="2"/>
  <c r="I37" i="2" s="1"/>
  <c r="E4" i="2"/>
  <c r="P37" i="2"/>
  <c r="P38" i="2" s="1"/>
  <c r="AF77" i="2"/>
  <c r="F40" i="1"/>
  <c r="AF80" i="2"/>
  <c r="D6" i="2"/>
  <c r="D7" i="2" s="1"/>
  <c r="E40" i="1"/>
  <c r="B16" i="2"/>
  <c r="E16" i="2"/>
  <c r="J16" i="2"/>
  <c r="I16" i="2"/>
  <c r="G16" i="2"/>
  <c r="K16" i="2"/>
  <c r="D16" i="2"/>
  <c r="L16" i="2"/>
  <c r="H16" i="2"/>
  <c r="F16" i="2"/>
  <c r="C16" i="2"/>
  <c r="D47" i="7"/>
  <c r="D48" i="7" s="1"/>
  <c r="D88" i="7" s="1"/>
  <c r="D90" i="7" s="1"/>
  <c r="AB65" i="2"/>
  <c r="AB67" i="2"/>
  <c r="D39" i="2"/>
  <c r="I6" i="8" s="1"/>
  <c r="D152" i="2"/>
  <c r="I152" i="2" s="1"/>
  <c r="K21" i="5" s="1"/>
  <c r="K45" i="5" s="1"/>
  <c r="D156" i="2"/>
  <c r="D41" i="2"/>
  <c r="I8" i="8" s="1"/>
  <c r="D145" i="2"/>
  <c r="I145" i="2" s="1"/>
  <c r="K14" i="5" s="1"/>
  <c r="K38" i="5" s="1"/>
  <c r="D155" i="2"/>
  <c r="I155" i="2" s="1"/>
  <c r="K24" i="5" s="1"/>
  <c r="K48" i="5" s="1"/>
  <c r="D50" i="2"/>
  <c r="D149" i="2"/>
  <c r="I149" i="2" s="1"/>
  <c r="K18" i="5" s="1"/>
  <c r="K42" i="5" s="1"/>
  <c r="D140" i="2"/>
  <c r="I140" i="2" s="1"/>
  <c r="K9" i="5" s="1"/>
  <c r="D148" i="2"/>
  <c r="I148" i="2" s="1"/>
  <c r="K17" i="5" s="1"/>
  <c r="K41" i="5" s="1"/>
  <c r="D49" i="2"/>
  <c r="I16" i="8" s="1"/>
  <c r="D38" i="2"/>
  <c r="I5" i="8" s="1"/>
  <c r="D144" i="2"/>
  <c r="I144" i="2" s="1"/>
  <c r="K13" i="5" s="1"/>
  <c r="K37" i="5" s="1"/>
  <c r="D142" i="2"/>
  <c r="I142" i="2" s="1"/>
  <c r="K11" i="5" s="1"/>
  <c r="D48" i="2"/>
  <c r="I15" i="8" s="1"/>
  <c r="D54" i="2"/>
  <c r="I21" i="8" s="1"/>
  <c r="D43" i="2"/>
  <c r="I10" i="8" s="1"/>
  <c r="D151" i="2"/>
  <c r="I151" i="2" s="1"/>
  <c r="K20" i="5" s="1"/>
  <c r="K44" i="5" s="1"/>
  <c r="D158" i="2"/>
  <c r="I158" i="2" s="1"/>
  <c r="K27" i="5" s="1"/>
  <c r="K51" i="5" s="1"/>
  <c r="D55" i="2"/>
  <c r="D53" i="2"/>
  <c r="I20" i="8" s="1"/>
  <c r="D40" i="2"/>
  <c r="I7" i="8" s="1"/>
  <c r="D44" i="2"/>
  <c r="D159" i="2"/>
  <c r="I159" i="2" s="1"/>
  <c r="K28" i="5" s="1"/>
  <c r="K52" i="5" s="1"/>
  <c r="D154" i="2"/>
  <c r="I154" i="2" s="1"/>
  <c r="K23" i="5" s="1"/>
  <c r="K47" i="5" s="1"/>
  <c r="D157" i="2"/>
  <c r="I157" i="2" s="1"/>
  <c r="K26" i="5" s="1"/>
  <c r="K50" i="5" s="1"/>
  <c r="D52" i="2"/>
  <c r="I19" i="8" s="1"/>
  <c r="D42" i="2"/>
  <c r="D153" i="2"/>
  <c r="I153" i="2" s="1"/>
  <c r="K22" i="5" s="1"/>
  <c r="K46" i="5" s="1"/>
  <c r="D45" i="2"/>
  <c r="D147" i="2"/>
  <c r="I147" i="2" s="1"/>
  <c r="K16" i="5" s="1"/>
  <c r="K40" i="5" s="1"/>
  <c r="D143" i="2"/>
  <c r="I143" i="2" s="1"/>
  <c r="K12" i="5" s="1"/>
  <c r="K36" i="5" s="1"/>
  <c r="D51" i="2"/>
  <c r="E35" i="1"/>
  <c r="G172" i="1"/>
  <c r="AB63" i="2"/>
  <c r="E38" i="1"/>
  <c r="AE77" i="2"/>
  <c r="E37" i="1"/>
  <c r="D46" i="2"/>
  <c r="D146" i="2"/>
  <c r="D56" i="2"/>
  <c r="G33" i="5"/>
  <c r="H33" i="5"/>
  <c r="I33" i="5"/>
  <c r="E33" i="5"/>
  <c r="D45" i="6"/>
  <c r="H8" i="6"/>
  <c r="H86" i="6" s="1"/>
  <c r="H85" i="6"/>
  <c r="H53" i="6"/>
  <c r="H7" i="7"/>
  <c r="F4" i="6"/>
  <c r="F82" i="6" s="1"/>
  <c r="Y71" i="2" l="1"/>
  <c r="AB78" i="2"/>
  <c r="AG78" i="2" s="1"/>
  <c r="Y64" i="2"/>
  <c r="AD64" i="2" s="1"/>
  <c r="Y65" i="2"/>
  <c r="G38" i="1" s="1"/>
  <c r="AB79" i="2"/>
  <c r="AG79" i="2" s="1"/>
  <c r="Y67" i="2"/>
  <c r="AD67" i="2" s="1"/>
  <c r="AB77" i="2"/>
  <c r="AG77" i="2" s="1"/>
  <c r="AB76" i="2"/>
  <c r="AG76" i="2" s="1"/>
  <c r="H136" i="5" s="1"/>
  <c r="AB80" i="2"/>
  <c r="Y62" i="2"/>
  <c r="AD62" i="2" s="1"/>
  <c r="AB75" i="2"/>
  <c r="AG75" i="2" s="1"/>
  <c r="Y63" i="2"/>
  <c r="AD63" i="2" s="1"/>
  <c r="Y66" i="2"/>
  <c r="G39" i="1" s="1"/>
  <c r="F36" i="1"/>
  <c r="Q17" i="2"/>
  <c r="O17" i="2"/>
  <c r="M17" i="2"/>
  <c r="N17" i="2"/>
  <c r="R17" i="2"/>
  <c r="L17" i="2"/>
  <c r="T17" i="2"/>
  <c r="S17" i="2"/>
  <c r="P17" i="2"/>
  <c r="K35" i="5"/>
  <c r="K34" i="5"/>
  <c r="AC66" i="2"/>
  <c r="Q37" i="2"/>
  <c r="Q38" i="2" s="1"/>
  <c r="F38" i="2" s="1"/>
  <c r="Q140" i="2"/>
  <c r="Q141" i="2" s="1"/>
  <c r="I4" i="8"/>
  <c r="E56" i="2"/>
  <c r="N23" i="8" s="1"/>
  <c r="E38" i="2"/>
  <c r="N5" i="8" s="1"/>
  <c r="E6" i="2"/>
  <c r="E7" i="2" s="1"/>
  <c r="AG80" i="2"/>
  <c r="F4" i="2"/>
  <c r="J17" i="2"/>
  <c r="G111" i="1"/>
  <c r="AC64" i="2"/>
  <c r="F37" i="1"/>
  <c r="F38" i="1"/>
  <c r="AC67" i="2"/>
  <c r="F35" i="1"/>
  <c r="H172" i="1"/>
  <c r="F46" i="7" s="1"/>
  <c r="F47" i="7" s="1"/>
  <c r="F48" i="7" s="1"/>
  <c r="F88" i="7" s="1"/>
  <c r="F90" i="7" s="1"/>
  <c r="AC63" i="2"/>
  <c r="AC65" i="2"/>
  <c r="D17" i="2"/>
  <c r="C17" i="2"/>
  <c r="H17" i="2"/>
  <c r="B17" i="2"/>
  <c r="F17" i="2"/>
  <c r="E17" i="2"/>
  <c r="E49" i="2"/>
  <c r="N16" i="8" s="1"/>
  <c r="E43" i="2"/>
  <c r="N10" i="8" s="1"/>
  <c r="E53" i="2"/>
  <c r="N20" i="8" s="1"/>
  <c r="E51" i="2"/>
  <c r="N18" i="8" s="1"/>
  <c r="E41" i="2"/>
  <c r="N8" i="8" s="1"/>
  <c r="E39" i="2"/>
  <c r="N6" i="8" s="1"/>
  <c r="I17" i="2"/>
  <c r="E156" i="2"/>
  <c r="J156" i="2" s="1"/>
  <c r="L25" i="5" s="1"/>
  <c r="L49" i="5" s="1"/>
  <c r="K17" i="2"/>
  <c r="G17" i="2"/>
  <c r="I47" i="2"/>
  <c r="K21" i="1" s="1"/>
  <c r="K45" i="1" s="1"/>
  <c r="G14" i="8" s="1"/>
  <c r="G36" i="8" s="1"/>
  <c r="E54" i="2"/>
  <c r="N21" i="8" s="1"/>
  <c r="E149" i="2"/>
  <c r="J149" i="2" s="1"/>
  <c r="L18" i="5" s="1"/>
  <c r="L42" i="5" s="1"/>
  <c r="E144" i="2"/>
  <c r="J144" i="2" s="1"/>
  <c r="L13" i="5" s="1"/>
  <c r="L37" i="5" s="1"/>
  <c r="E37" i="2"/>
  <c r="N4" i="8" s="1"/>
  <c r="E151" i="2"/>
  <c r="J151" i="2" s="1"/>
  <c r="L20" i="5" s="1"/>
  <c r="L44" i="5" s="1"/>
  <c r="E146" i="2"/>
  <c r="J146" i="2" s="1"/>
  <c r="L15" i="5" s="1"/>
  <c r="L39" i="5" s="1"/>
  <c r="E143" i="2"/>
  <c r="J143" i="2" s="1"/>
  <c r="L12" i="5" s="1"/>
  <c r="L36" i="5" s="1"/>
  <c r="E145" i="2"/>
  <c r="J145" i="2" s="1"/>
  <c r="L14" i="5" s="1"/>
  <c r="L38" i="5" s="1"/>
  <c r="E52" i="2"/>
  <c r="N19" i="8" s="1"/>
  <c r="E42" i="2"/>
  <c r="N9" i="8" s="1"/>
  <c r="E153" i="2"/>
  <c r="J153" i="2" s="1"/>
  <c r="L22" i="5" s="1"/>
  <c r="L46" i="5" s="1"/>
  <c r="E50" i="2"/>
  <c r="N17" i="8" s="1"/>
  <c r="E152" i="2"/>
  <c r="J152" i="2" s="1"/>
  <c r="L21" i="5" s="1"/>
  <c r="L45" i="5" s="1"/>
  <c r="E48" i="2"/>
  <c r="N15" i="8" s="1"/>
  <c r="E142" i="2"/>
  <c r="J142" i="2" s="1"/>
  <c r="L11" i="5" s="1"/>
  <c r="L35" i="5" s="1"/>
  <c r="E150" i="2"/>
  <c r="J150" i="2" s="1"/>
  <c r="L19" i="5" s="1"/>
  <c r="L43" i="5" s="1"/>
  <c r="E44" i="2"/>
  <c r="N11" i="8" s="1"/>
  <c r="E47" i="2"/>
  <c r="N14" i="8" s="1"/>
  <c r="E141" i="2"/>
  <c r="J141" i="2" s="1"/>
  <c r="L10" i="5" s="1"/>
  <c r="L34" i="5" s="1"/>
  <c r="E46" i="2"/>
  <c r="N13" i="8" s="1"/>
  <c r="E140" i="2"/>
  <c r="J140" i="2" s="1"/>
  <c r="L9" i="5" s="1"/>
  <c r="L33" i="5" s="1"/>
  <c r="E148" i="2"/>
  <c r="J148" i="2" s="1"/>
  <c r="L17" i="5" s="1"/>
  <c r="L41" i="5" s="1"/>
  <c r="E154" i="2"/>
  <c r="J154" i="2" s="1"/>
  <c r="L23" i="5" s="1"/>
  <c r="L47" i="5" s="1"/>
  <c r="E158" i="2"/>
  <c r="J158" i="2" s="1"/>
  <c r="L27" i="5" s="1"/>
  <c r="L51" i="5" s="1"/>
  <c r="E45" i="2"/>
  <c r="N12" i="8" s="1"/>
  <c r="E157" i="2"/>
  <c r="J157" i="2" s="1"/>
  <c r="L26" i="5" s="1"/>
  <c r="L50" i="5" s="1"/>
  <c r="AC62" i="2"/>
  <c r="E155" i="2"/>
  <c r="J155" i="2" s="1"/>
  <c r="L24" i="5" s="1"/>
  <c r="L48" i="5" s="1"/>
  <c r="E55" i="2"/>
  <c r="N22" i="8" s="1"/>
  <c r="E147" i="2"/>
  <c r="J147" i="2" s="1"/>
  <c r="L16" i="5" s="1"/>
  <c r="L40" i="5" s="1"/>
  <c r="E40" i="2"/>
  <c r="N7" i="8" s="1"/>
  <c r="E159" i="2"/>
  <c r="J159" i="2" s="1"/>
  <c r="L28" i="5" s="1"/>
  <c r="L52" i="5" s="1"/>
  <c r="I48" i="2"/>
  <c r="K22" i="1" s="1"/>
  <c r="K46" i="1" s="1"/>
  <c r="G15" i="8" s="1"/>
  <c r="G37" i="8" s="1"/>
  <c r="I41" i="2"/>
  <c r="K15" i="1" s="1"/>
  <c r="K39" i="1" s="1"/>
  <c r="G8" i="8" s="1"/>
  <c r="I39" i="2"/>
  <c r="K13" i="1" s="1"/>
  <c r="F6" i="8" s="1"/>
  <c r="I54" i="2"/>
  <c r="K28" i="1" s="1"/>
  <c r="K11" i="1"/>
  <c r="K35" i="1" s="1"/>
  <c r="G4" i="8" s="1"/>
  <c r="I49" i="2"/>
  <c r="K23" i="1" s="1"/>
  <c r="I156" i="2"/>
  <c r="K25" i="5" s="1"/>
  <c r="K49" i="5" s="1"/>
  <c r="I43" i="2"/>
  <c r="K17" i="1" s="1"/>
  <c r="K41" i="1" s="1"/>
  <c r="H10" i="8" s="1"/>
  <c r="I38" i="2"/>
  <c r="K12" i="1" s="1"/>
  <c r="I52" i="2"/>
  <c r="K26" i="1" s="1"/>
  <c r="K50" i="1" s="1"/>
  <c r="G19" i="8" s="1"/>
  <c r="I9" i="8"/>
  <c r="I42" i="2"/>
  <c r="K16" i="1" s="1"/>
  <c r="I22" i="8"/>
  <c r="I55" i="2"/>
  <c r="K29" i="1" s="1"/>
  <c r="I53" i="2"/>
  <c r="K27" i="1" s="1"/>
  <c r="K51" i="1" s="1"/>
  <c r="G20" i="8" s="1"/>
  <c r="I18" i="8"/>
  <c r="I51" i="2"/>
  <c r="K25" i="1" s="1"/>
  <c r="I17" i="8"/>
  <c r="I50" i="2"/>
  <c r="K24" i="1" s="1"/>
  <c r="I40" i="2"/>
  <c r="K14" i="1" s="1"/>
  <c r="F7" i="8" s="1"/>
  <c r="I11" i="8"/>
  <c r="I44" i="2"/>
  <c r="K18" i="1" s="1"/>
  <c r="I12" i="8"/>
  <c r="I45" i="2"/>
  <c r="K19" i="1" s="1"/>
  <c r="I23" i="8"/>
  <c r="I56" i="2"/>
  <c r="K30" i="1" s="1"/>
  <c r="E45" i="6"/>
  <c r="E46" i="7"/>
  <c r="I146" i="2"/>
  <c r="K15" i="5" s="1"/>
  <c r="K39" i="5" s="1"/>
  <c r="I13" i="8"/>
  <c r="I46" i="2"/>
  <c r="K20" i="1" s="1"/>
  <c r="K33" i="5"/>
  <c r="H86" i="7"/>
  <c r="H54" i="7"/>
  <c r="AC78" i="2" l="1"/>
  <c r="Z71" i="2"/>
  <c r="AC80" i="2"/>
  <c r="AI80" i="2" s="1"/>
  <c r="Z66" i="2"/>
  <c r="AE66" i="2" s="1"/>
  <c r="Z63" i="2"/>
  <c r="AE63" i="2" s="1"/>
  <c r="AC79" i="2"/>
  <c r="AI79" i="2" s="1"/>
  <c r="Z64" i="2"/>
  <c r="AE64" i="2" s="1"/>
  <c r="Z65" i="2"/>
  <c r="H38" i="1" s="1"/>
  <c r="Z67" i="2"/>
  <c r="AE67" i="2" s="1"/>
  <c r="AC77" i="2"/>
  <c r="Z62" i="2"/>
  <c r="AC76" i="2"/>
  <c r="AH76" i="2" s="1"/>
  <c r="I136" i="5" s="1"/>
  <c r="AC75" i="2"/>
  <c r="AI75" i="2" s="1"/>
  <c r="J56" i="2"/>
  <c r="L30" i="1" s="1"/>
  <c r="L54" i="1" s="1"/>
  <c r="L23" i="8" s="1"/>
  <c r="J49" i="2"/>
  <c r="L23" i="1" s="1"/>
  <c r="L47" i="1" s="1"/>
  <c r="L16" i="8" s="1"/>
  <c r="L38" i="8" s="1"/>
  <c r="F159" i="2"/>
  <c r="L159" i="2" s="1"/>
  <c r="N28" i="5" s="1"/>
  <c r="N52" i="5" s="1"/>
  <c r="G40" i="1"/>
  <c r="AD65" i="2"/>
  <c r="F54" i="2"/>
  <c r="S21" i="8" s="1"/>
  <c r="AD66" i="2"/>
  <c r="R140" i="2"/>
  <c r="R141" i="2" s="1"/>
  <c r="R37" i="2"/>
  <c r="R38" i="2" s="1"/>
  <c r="G35" i="1"/>
  <c r="J37" i="2"/>
  <c r="L11" i="1" s="1"/>
  <c r="L35" i="1" s="1"/>
  <c r="L4" i="8" s="1"/>
  <c r="AH78" i="2"/>
  <c r="AI77" i="2"/>
  <c r="F6" i="2"/>
  <c r="F7" i="2" s="1"/>
  <c r="H111" i="1"/>
  <c r="G4" i="2"/>
  <c r="J43" i="2"/>
  <c r="L17" i="1" s="1"/>
  <c r="L41" i="1" s="1"/>
  <c r="J48" i="2"/>
  <c r="L22" i="1" s="1"/>
  <c r="L46" i="1" s="1"/>
  <c r="L15" i="8" s="1"/>
  <c r="L37" i="8" s="1"/>
  <c r="F49" i="2"/>
  <c r="S16" i="8" s="1"/>
  <c r="F14" i="8"/>
  <c r="F36" i="8" s="1"/>
  <c r="F53" i="2"/>
  <c r="K53" i="2" s="1"/>
  <c r="M27" i="1" s="1"/>
  <c r="J45" i="2"/>
  <c r="L19" i="1" s="1"/>
  <c r="K12" i="8" s="1"/>
  <c r="I172" i="1"/>
  <c r="G46" i="7" s="1"/>
  <c r="G47" i="7" s="1"/>
  <c r="G48" i="7" s="1"/>
  <c r="F141" i="2"/>
  <c r="L141" i="2" s="1"/>
  <c r="N10" i="5" s="1"/>
  <c r="N34" i="5" s="1"/>
  <c r="F55" i="2"/>
  <c r="S22" i="8" s="1"/>
  <c r="F56" i="2"/>
  <c r="S23" i="8" s="1"/>
  <c r="K38" i="2"/>
  <c r="M12" i="1" s="1"/>
  <c r="F155" i="2"/>
  <c r="L155" i="2" s="1"/>
  <c r="N24" i="5" s="1"/>
  <c r="N48" i="5" s="1"/>
  <c r="F45" i="2"/>
  <c r="S12" i="8" s="1"/>
  <c r="F37" i="2"/>
  <c r="F40" i="2"/>
  <c r="S7" i="8" s="1"/>
  <c r="F153" i="2"/>
  <c r="K153" i="2" s="1"/>
  <c r="M22" i="5" s="1"/>
  <c r="F50" i="2"/>
  <c r="S17" i="8" s="1"/>
  <c r="F149" i="2"/>
  <c r="L149" i="2" s="1"/>
  <c r="N18" i="5" s="1"/>
  <c r="N42" i="5" s="1"/>
  <c r="F157" i="2"/>
  <c r="L157" i="2" s="1"/>
  <c r="N26" i="5" s="1"/>
  <c r="N50" i="5" s="1"/>
  <c r="F147" i="2"/>
  <c r="L147" i="2" s="1"/>
  <c r="N16" i="5" s="1"/>
  <c r="N40" i="5" s="1"/>
  <c r="F140" i="2"/>
  <c r="L140" i="2" s="1"/>
  <c r="N9" i="5" s="1"/>
  <c r="F156" i="2"/>
  <c r="L156" i="2" s="1"/>
  <c r="N25" i="5" s="1"/>
  <c r="N49" i="5" s="1"/>
  <c r="F42" i="2"/>
  <c r="S9" i="8" s="1"/>
  <c r="F150" i="2"/>
  <c r="L150" i="2" s="1"/>
  <c r="N19" i="5" s="1"/>
  <c r="N43" i="5" s="1"/>
  <c r="F44" i="2"/>
  <c r="S11" i="8" s="1"/>
  <c r="F151" i="2"/>
  <c r="L151" i="2" s="1"/>
  <c r="N20" i="5" s="1"/>
  <c r="N44" i="5" s="1"/>
  <c r="F152" i="2"/>
  <c r="L152" i="2" s="1"/>
  <c r="N21" i="5" s="1"/>
  <c r="N45" i="5" s="1"/>
  <c r="F43" i="2"/>
  <c r="S10" i="8" s="1"/>
  <c r="F154" i="2"/>
  <c r="L154" i="2" s="1"/>
  <c r="N23" i="5" s="1"/>
  <c r="N47" i="5" s="1"/>
  <c r="F51" i="2"/>
  <c r="S18" i="8" s="1"/>
  <c r="F46" i="2"/>
  <c r="S13" i="8" s="1"/>
  <c r="F148" i="2"/>
  <c r="L148" i="2" s="1"/>
  <c r="N17" i="5" s="1"/>
  <c r="N41" i="5" s="1"/>
  <c r="F41" i="2"/>
  <c r="S8" i="8" s="1"/>
  <c r="F145" i="2"/>
  <c r="K145" i="2" s="1"/>
  <c r="M14" i="5" s="1"/>
  <c r="F143" i="2"/>
  <c r="L143" i="2" s="1"/>
  <c r="N12" i="5" s="1"/>
  <c r="N36" i="5" s="1"/>
  <c r="F144" i="2"/>
  <c r="L144" i="2" s="1"/>
  <c r="N13" i="5" s="1"/>
  <c r="N37" i="5" s="1"/>
  <c r="F146" i="2"/>
  <c r="L146" i="2" s="1"/>
  <c r="N15" i="5" s="1"/>
  <c r="N39" i="5" s="1"/>
  <c r="F142" i="2"/>
  <c r="L142" i="2" s="1"/>
  <c r="N11" i="5" s="1"/>
  <c r="N35" i="5" s="1"/>
  <c r="F52" i="2"/>
  <c r="S19" i="8" s="1"/>
  <c r="F39" i="2"/>
  <c r="S6" i="8" s="1"/>
  <c r="F48" i="2"/>
  <c r="S15" i="8" s="1"/>
  <c r="F47" i="2"/>
  <c r="K47" i="2" s="1"/>
  <c r="M21" i="1" s="1"/>
  <c r="F158" i="2"/>
  <c r="L158" i="2" s="1"/>
  <c r="N27" i="5" s="1"/>
  <c r="N51" i="5" s="1"/>
  <c r="G37" i="1"/>
  <c r="G36" i="1"/>
  <c r="F45" i="6"/>
  <c r="H14" i="8"/>
  <c r="H36" i="8" s="1"/>
  <c r="H8" i="8"/>
  <c r="J53" i="2"/>
  <c r="L27" i="1" s="1"/>
  <c r="K20" i="8" s="1"/>
  <c r="J41" i="2"/>
  <c r="L15" i="1" s="1"/>
  <c r="L39" i="1" s="1"/>
  <c r="L8" i="8" s="1"/>
  <c r="J55" i="2"/>
  <c r="L29" i="1" s="1"/>
  <c r="L53" i="1" s="1"/>
  <c r="L22" i="8" s="1"/>
  <c r="J54" i="2"/>
  <c r="L28" i="1" s="1"/>
  <c r="L52" i="1" s="1"/>
  <c r="L21" i="8" s="1"/>
  <c r="J39" i="2"/>
  <c r="L13" i="1" s="1"/>
  <c r="K6" i="8" s="1"/>
  <c r="J52" i="2"/>
  <c r="L26" i="1" s="1"/>
  <c r="L50" i="1" s="1"/>
  <c r="L19" i="8" s="1"/>
  <c r="J51" i="2"/>
  <c r="L25" i="1" s="1"/>
  <c r="L49" i="1" s="1"/>
  <c r="L18" i="8" s="1"/>
  <c r="J40" i="2"/>
  <c r="L14" i="1" s="1"/>
  <c r="L38" i="1" s="1"/>
  <c r="L7" i="8" s="1"/>
  <c r="J46" i="2"/>
  <c r="L20" i="1" s="1"/>
  <c r="L44" i="1" s="1"/>
  <c r="L13" i="8" s="1"/>
  <c r="L35" i="8" s="1"/>
  <c r="J50" i="2"/>
  <c r="L24" i="1" s="1"/>
  <c r="L48" i="1" s="1"/>
  <c r="L17" i="8" s="1"/>
  <c r="J42" i="2"/>
  <c r="L16" i="1" s="1"/>
  <c r="K9" i="8" s="1"/>
  <c r="J47" i="2"/>
  <c r="L21" i="1" s="1"/>
  <c r="L45" i="1" s="1"/>
  <c r="L14" i="8" s="1"/>
  <c r="L36" i="8" s="1"/>
  <c r="J44" i="2"/>
  <c r="L18" i="1" s="1"/>
  <c r="J38" i="2"/>
  <c r="L12" i="1" s="1"/>
  <c r="L36" i="1" s="1"/>
  <c r="F8" i="8"/>
  <c r="E47" i="7"/>
  <c r="E48" i="7" s="1"/>
  <c r="E88" i="7" s="1"/>
  <c r="E90" i="7" s="1"/>
  <c r="F15" i="8"/>
  <c r="F37" i="8" s="1"/>
  <c r="H20" i="8"/>
  <c r="F19" i="8"/>
  <c r="K37" i="1"/>
  <c r="G6" i="8" s="1"/>
  <c r="F4" i="8"/>
  <c r="G10" i="8"/>
  <c r="F21" i="8"/>
  <c r="K52" i="1"/>
  <c r="F10" i="8"/>
  <c r="F32" i="8" s="1"/>
  <c r="K47" i="1"/>
  <c r="F16" i="8"/>
  <c r="F38" i="8" s="1"/>
  <c r="K38" i="1"/>
  <c r="G7" i="8" s="1"/>
  <c r="K36" i="1"/>
  <c r="F5" i="8"/>
  <c r="F18" i="8"/>
  <c r="K49" i="1"/>
  <c r="G18" i="8" s="1"/>
  <c r="K42" i="1"/>
  <c r="F11" i="8"/>
  <c r="F20" i="8"/>
  <c r="K53" i="1"/>
  <c r="F22" i="8"/>
  <c r="K40" i="1"/>
  <c r="F9" i="8"/>
  <c r="K48" i="1"/>
  <c r="F17" i="8"/>
  <c r="K43" i="1"/>
  <c r="G12" i="8" s="1"/>
  <c r="F12" i="8"/>
  <c r="L29" i="5"/>
  <c r="K53" i="5"/>
  <c r="K29" i="5"/>
  <c r="K31" i="1"/>
  <c r="L53" i="5"/>
  <c r="K54" i="1"/>
  <c r="F23" i="8"/>
  <c r="K44" i="1"/>
  <c r="G13" i="8" s="1"/>
  <c r="G35" i="8" s="1"/>
  <c r="F13" i="8"/>
  <c r="F35" i="8" s="1"/>
  <c r="H15" i="8"/>
  <c r="H37" i="8" s="1"/>
  <c r="H19" i="8"/>
  <c r="H4" i="8"/>
  <c r="K159" i="2"/>
  <c r="M28" i="5" s="1"/>
  <c r="K54" i="2"/>
  <c r="M28" i="1" s="1"/>
  <c r="K23" i="8" l="1"/>
  <c r="K16" i="8"/>
  <c r="K38" i="8" s="1"/>
  <c r="AA71" i="2"/>
  <c r="I111" i="1" s="1"/>
  <c r="AA63" i="2"/>
  <c r="AF63" i="2" s="1"/>
  <c r="AA62" i="2"/>
  <c r="AF62" i="2" s="1"/>
  <c r="AA65" i="2"/>
  <c r="AF65" i="2" s="1"/>
  <c r="AA67" i="2"/>
  <c r="AF67" i="2" s="1"/>
  <c r="AA66" i="2"/>
  <c r="AF66" i="2" s="1"/>
  <c r="AA64" i="2"/>
  <c r="AF64" i="2" s="1"/>
  <c r="M16" i="8"/>
  <c r="M38" i="8" s="1"/>
  <c r="K49" i="2"/>
  <c r="M23" i="1" s="1"/>
  <c r="P16" i="8" s="1"/>
  <c r="P38" i="8" s="1"/>
  <c r="M23" i="8"/>
  <c r="F34" i="8"/>
  <c r="K34" i="8"/>
  <c r="F33" i="8"/>
  <c r="H39" i="1"/>
  <c r="H40" i="1"/>
  <c r="AH79" i="2"/>
  <c r="S37" i="2"/>
  <c r="S38" i="2" s="1"/>
  <c r="H39" i="2" s="1"/>
  <c r="S140" i="2"/>
  <c r="S141" i="2" s="1"/>
  <c r="K15" i="8"/>
  <c r="K37" i="8" s="1"/>
  <c r="K4" i="8"/>
  <c r="G37" i="2"/>
  <c r="X4" i="8" s="1"/>
  <c r="G39" i="2"/>
  <c r="X6" i="8" s="1"/>
  <c r="K10" i="8"/>
  <c r="AH80" i="2"/>
  <c r="M15" i="8"/>
  <c r="M37" i="8" s="1"/>
  <c r="AI78" i="2"/>
  <c r="AH75" i="2"/>
  <c r="K56" i="2"/>
  <c r="M30" i="1" s="1"/>
  <c r="M54" i="1" s="1"/>
  <c r="R23" i="8" s="1"/>
  <c r="G45" i="6"/>
  <c r="S20" i="8"/>
  <c r="K45" i="2"/>
  <c r="M19" i="1" s="1"/>
  <c r="P12" i="8" s="1"/>
  <c r="K44" i="2"/>
  <c r="M18" i="1" s="1"/>
  <c r="P11" i="8" s="1"/>
  <c r="K40" i="2"/>
  <c r="M14" i="1" s="1"/>
  <c r="P7" i="8" s="1"/>
  <c r="G53" i="2"/>
  <c r="X20" i="8" s="1"/>
  <c r="G43" i="2"/>
  <c r="X10" i="8" s="1"/>
  <c r="K141" i="2"/>
  <c r="M10" i="5" s="1"/>
  <c r="M34" i="5" s="1"/>
  <c r="G54" i="2"/>
  <c r="X21" i="8" s="1"/>
  <c r="K150" i="2"/>
  <c r="M19" i="5" s="1"/>
  <c r="M43" i="5" s="1"/>
  <c r="K42" i="2"/>
  <c r="M16" i="1" s="1"/>
  <c r="P9" i="8" s="1"/>
  <c r="G156" i="2"/>
  <c r="G50" i="2"/>
  <c r="X17" i="8" s="1"/>
  <c r="G148" i="2"/>
  <c r="K148" i="2"/>
  <c r="M17" i="5" s="1"/>
  <c r="M41" i="5" s="1"/>
  <c r="G47" i="2"/>
  <c r="X14" i="8" s="1"/>
  <c r="L153" i="2"/>
  <c r="N22" i="5" s="1"/>
  <c r="N46" i="5" s="1"/>
  <c r="K149" i="2"/>
  <c r="M18" i="5" s="1"/>
  <c r="M42" i="5" s="1"/>
  <c r="K52" i="2"/>
  <c r="M26" i="1" s="1"/>
  <c r="P19" i="8" s="1"/>
  <c r="S14" i="8"/>
  <c r="G140" i="2"/>
  <c r="G158" i="2"/>
  <c r="G40" i="2"/>
  <c r="X7" i="8" s="1"/>
  <c r="G141" i="2"/>
  <c r="K155" i="2"/>
  <c r="M24" i="5" s="1"/>
  <c r="M48" i="5" s="1"/>
  <c r="G149" i="2"/>
  <c r="G56" i="2"/>
  <c r="X23" i="8" s="1"/>
  <c r="G153" i="2"/>
  <c r="G145" i="2"/>
  <c r="G146" i="2"/>
  <c r="G150" i="2"/>
  <c r="G154" i="2"/>
  <c r="K151" i="2"/>
  <c r="M20" i="5" s="1"/>
  <c r="M44" i="5" s="1"/>
  <c r="L145" i="2"/>
  <c r="N14" i="5" s="1"/>
  <c r="N38" i="5" s="1"/>
  <c r="S5" i="8"/>
  <c r="K157" i="2"/>
  <c r="M26" i="5" s="1"/>
  <c r="M50" i="5" s="1"/>
  <c r="K55" i="2"/>
  <c r="M29" i="1" s="1"/>
  <c r="M53" i="1" s="1"/>
  <c r="Q22" i="8" s="1"/>
  <c r="K50" i="2"/>
  <c r="M24" i="1" s="1"/>
  <c r="P17" i="8" s="1"/>
  <c r="K158" i="2"/>
  <c r="M27" i="5" s="1"/>
  <c r="M51" i="5" s="1"/>
  <c r="G144" i="2"/>
  <c r="G42" i="2"/>
  <c r="X9" i="8" s="1"/>
  <c r="G143" i="2"/>
  <c r="G159" i="2"/>
  <c r="G55" i="2"/>
  <c r="X22" i="8" s="1"/>
  <c r="K48" i="2"/>
  <c r="M22" i="1" s="1"/>
  <c r="P15" i="8" s="1"/>
  <c r="P37" i="8" s="1"/>
  <c r="G142" i="2"/>
  <c r="G51" i="2"/>
  <c r="X18" i="8" s="1"/>
  <c r="G48" i="2"/>
  <c r="X15" i="8" s="1"/>
  <c r="G46" i="2"/>
  <c r="X13" i="8" s="1"/>
  <c r="G44" i="2"/>
  <c r="X11" i="8" s="1"/>
  <c r="L43" i="1"/>
  <c r="M12" i="8" s="1"/>
  <c r="K43" i="2"/>
  <c r="M17" i="1" s="1"/>
  <c r="P10" i="8" s="1"/>
  <c r="K41" i="2"/>
  <c r="M15" i="1" s="1"/>
  <c r="P8" i="8" s="1"/>
  <c r="G151" i="2"/>
  <c r="G41" i="2"/>
  <c r="X8" i="8" s="1"/>
  <c r="G49" i="2"/>
  <c r="X16" i="8" s="1"/>
  <c r="G152" i="2"/>
  <c r="G45" i="2"/>
  <c r="X12" i="8" s="1"/>
  <c r="K152" i="2"/>
  <c r="M21" i="5" s="1"/>
  <c r="M45" i="5" s="1"/>
  <c r="G157" i="2"/>
  <c r="G52" i="2"/>
  <c r="X19" i="8" s="1"/>
  <c r="G155" i="2"/>
  <c r="G38" i="2"/>
  <c r="X5" i="8" s="1"/>
  <c r="G147" i="2"/>
  <c r="K140" i="2"/>
  <c r="M9" i="5" s="1"/>
  <c r="M33" i="5" s="1"/>
  <c r="K147" i="2"/>
  <c r="M16" i="5" s="1"/>
  <c r="M40" i="5" s="1"/>
  <c r="K144" i="2"/>
  <c r="M13" i="5" s="1"/>
  <c r="M37" i="5" s="1"/>
  <c r="K156" i="2"/>
  <c r="M25" i="5" s="1"/>
  <c r="M49" i="5" s="1"/>
  <c r="K154" i="2"/>
  <c r="M23" i="5" s="1"/>
  <c r="M47" i="5" s="1"/>
  <c r="K146" i="2"/>
  <c r="M15" i="5" s="1"/>
  <c r="M39" i="5" s="1"/>
  <c r="K142" i="2"/>
  <c r="M11" i="5" s="1"/>
  <c r="M35" i="5" s="1"/>
  <c r="K39" i="2"/>
  <c r="M13" i="1" s="1"/>
  <c r="M37" i="1" s="1"/>
  <c r="Q6" i="8" s="1"/>
  <c r="K37" i="2"/>
  <c r="M11" i="1" s="1"/>
  <c r="M35" i="1" s="1"/>
  <c r="Q4" i="8" s="1"/>
  <c r="K51" i="2"/>
  <c r="M25" i="1" s="1"/>
  <c r="M49" i="1" s="1"/>
  <c r="Q18" i="8" s="1"/>
  <c r="K143" i="2"/>
  <c r="M12" i="5" s="1"/>
  <c r="M36" i="5" s="1"/>
  <c r="K46" i="2"/>
  <c r="M20" i="1" s="1"/>
  <c r="P13" i="8" s="1"/>
  <c r="P35" i="8" s="1"/>
  <c r="S4" i="8"/>
  <c r="K18" i="8"/>
  <c r="M18" i="8"/>
  <c r="L51" i="1"/>
  <c r="L20" i="8" s="1"/>
  <c r="H36" i="1"/>
  <c r="H37" i="1"/>
  <c r="L40" i="1"/>
  <c r="M9" i="8" s="1"/>
  <c r="K8" i="8"/>
  <c r="M4" i="8"/>
  <c r="K13" i="8"/>
  <c r="K35" i="8" s="1"/>
  <c r="L37" i="1"/>
  <c r="L6" i="8" s="1"/>
  <c r="H35" i="1"/>
  <c r="K21" i="8"/>
  <c r="M8" i="8"/>
  <c r="J172" i="1"/>
  <c r="H46" i="7" s="1"/>
  <c r="M13" i="8"/>
  <c r="M35" i="8" s="1"/>
  <c r="M17" i="8"/>
  <c r="AE62" i="2"/>
  <c r="M21" i="8"/>
  <c r="AE65" i="2"/>
  <c r="AI76" i="2"/>
  <c r="J136" i="5" s="1"/>
  <c r="M19" i="8"/>
  <c r="K19" i="8"/>
  <c r="K22" i="8"/>
  <c r="M22" i="8"/>
  <c r="M7" i="8"/>
  <c r="K7" i="8"/>
  <c r="K5" i="8"/>
  <c r="L31" i="1"/>
  <c r="L111" i="1" s="1"/>
  <c r="L126" i="1" s="1"/>
  <c r="M14" i="8"/>
  <c r="M36" i="8" s="1"/>
  <c r="K17" i="8"/>
  <c r="K14" i="8"/>
  <c r="K36" i="8" s="1"/>
  <c r="AH77" i="2"/>
  <c r="K11" i="8"/>
  <c r="L42" i="1"/>
  <c r="K131" i="5"/>
  <c r="K134" i="5" s="1"/>
  <c r="K136" i="5" s="1"/>
  <c r="L131" i="5"/>
  <c r="K111" i="1"/>
  <c r="K126" i="1" s="1"/>
  <c r="F27" i="8"/>
  <c r="H6" i="8"/>
  <c r="G21" i="8"/>
  <c r="H21" i="8"/>
  <c r="H18" i="8"/>
  <c r="G16" i="8"/>
  <c r="G38" i="8" s="1"/>
  <c r="H16" i="8"/>
  <c r="H38" i="8" s="1"/>
  <c r="H7" i="8"/>
  <c r="G5" i="8"/>
  <c r="G27" i="8" s="1"/>
  <c r="H5" i="8"/>
  <c r="H27" i="8" s="1"/>
  <c r="G22" i="8"/>
  <c r="H22" i="8"/>
  <c r="G11" i="8"/>
  <c r="G33" i="8" s="1"/>
  <c r="H11" i="8"/>
  <c r="H33" i="8" s="1"/>
  <c r="G17" i="8"/>
  <c r="H17" i="8"/>
  <c r="G9" i="8"/>
  <c r="G32" i="8" s="1"/>
  <c r="H9" i="8"/>
  <c r="H12" i="8"/>
  <c r="L54" i="5"/>
  <c r="K54" i="5"/>
  <c r="L10" i="8"/>
  <c r="M10" i="8"/>
  <c r="F31" i="8"/>
  <c r="L5" i="8"/>
  <c r="L27" i="8" s="1"/>
  <c r="M5" i="8"/>
  <c r="G23" i="8"/>
  <c r="H23" i="8"/>
  <c r="H13" i="8"/>
  <c r="H35" i="8" s="1"/>
  <c r="K55" i="1"/>
  <c r="P21" i="8"/>
  <c r="P20" i="8"/>
  <c r="P14" i="8"/>
  <c r="P36" i="8" s="1"/>
  <c r="P5" i="8"/>
  <c r="M52" i="1"/>
  <c r="Q21" i="8" s="1"/>
  <c r="M51" i="1"/>
  <c r="Q20" i="8" s="1"/>
  <c r="M52" i="5"/>
  <c r="M36" i="1"/>
  <c r="Q5" i="8" s="1"/>
  <c r="M38" i="5"/>
  <c r="M45" i="1"/>
  <c r="Q14" i="8" s="1"/>
  <c r="Q36" i="8" s="1"/>
  <c r="N33" i="5"/>
  <c r="M46" i="5"/>
  <c r="M47" i="1" l="1"/>
  <c r="L37" i="2"/>
  <c r="N11" i="1" s="1"/>
  <c r="U4" i="8" s="1"/>
  <c r="F39" i="8"/>
  <c r="F40" i="8"/>
  <c r="K33" i="8"/>
  <c r="H34" i="8"/>
  <c r="P32" i="8"/>
  <c r="P33" i="8"/>
  <c r="K32" i="8"/>
  <c r="P34" i="8"/>
  <c r="M34" i="8"/>
  <c r="G34" i="8"/>
  <c r="H32" i="8"/>
  <c r="M32" i="8"/>
  <c r="I40" i="1"/>
  <c r="P23" i="8"/>
  <c r="I38" i="1"/>
  <c r="I37" i="1"/>
  <c r="I36" i="1"/>
  <c r="K27" i="8"/>
  <c r="L54" i="2"/>
  <c r="N28" i="1" s="1"/>
  <c r="N52" i="1" s="1"/>
  <c r="V21" i="8" s="1"/>
  <c r="L43" i="2"/>
  <c r="N17" i="1" s="1"/>
  <c r="N41" i="1" s="1"/>
  <c r="V10" i="8" s="1"/>
  <c r="M43" i="1"/>
  <c r="R12" i="8" s="1"/>
  <c r="L39" i="2"/>
  <c r="N13" i="1" s="1"/>
  <c r="U6" i="8" s="1"/>
  <c r="M38" i="1"/>
  <c r="Q7" i="8" s="1"/>
  <c r="H155" i="2"/>
  <c r="M155" i="2" s="1"/>
  <c r="O24" i="5" s="1"/>
  <c r="P24" i="5" s="1"/>
  <c r="M42" i="1"/>
  <c r="Q11" i="8" s="1"/>
  <c r="N53" i="5"/>
  <c r="L53" i="2"/>
  <c r="N27" i="1" s="1"/>
  <c r="N51" i="1" s="1"/>
  <c r="V20" i="8" s="1"/>
  <c r="L50" i="2"/>
  <c r="N24" i="1" s="1"/>
  <c r="N48" i="1" s="1"/>
  <c r="V17" i="8" s="1"/>
  <c r="L55" i="2"/>
  <c r="N29" i="1" s="1"/>
  <c r="N53" i="1" s="1"/>
  <c r="V22" i="8" s="1"/>
  <c r="L56" i="2"/>
  <c r="N30" i="1" s="1"/>
  <c r="N54" i="1" s="1"/>
  <c r="V23" i="8" s="1"/>
  <c r="M50" i="1"/>
  <c r="Q19" i="8" s="1"/>
  <c r="M46" i="1"/>
  <c r="Q15" i="8" s="1"/>
  <c r="Q37" i="8" s="1"/>
  <c r="N29" i="5"/>
  <c r="L44" i="2"/>
  <c r="N18" i="1" s="1"/>
  <c r="N42" i="1" s="1"/>
  <c r="W11" i="8" s="1"/>
  <c r="L45" i="2"/>
  <c r="N19" i="1" s="1"/>
  <c r="N43" i="1" s="1"/>
  <c r="W12" i="8" s="1"/>
  <c r="M41" i="1"/>
  <c r="R10" i="8" s="1"/>
  <c r="P18" i="8"/>
  <c r="P4" i="8"/>
  <c r="P27" i="8" s="1"/>
  <c r="P22" i="8"/>
  <c r="M40" i="1"/>
  <c r="R9" i="8" s="1"/>
  <c r="L40" i="2"/>
  <c r="N14" i="1" s="1"/>
  <c r="N38" i="1" s="1"/>
  <c r="V7" i="8" s="1"/>
  <c r="M48" i="1"/>
  <c r="Q17" i="8" s="1"/>
  <c r="L47" i="2"/>
  <c r="N21" i="1" s="1"/>
  <c r="U14" i="8" s="1"/>
  <c r="U36" i="8" s="1"/>
  <c r="L41" i="2"/>
  <c r="N15" i="1" s="1"/>
  <c r="N39" i="1" s="1"/>
  <c r="V8" i="8" s="1"/>
  <c r="M39" i="1"/>
  <c r="Q8" i="8" s="1"/>
  <c r="L46" i="2"/>
  <c r="N20" i="1" s="1"/>
  <c r="U13" i="8" s="1"/>
  <c r="U35" i="8" s="1"/>
  <c r="L52" i="2"/>
  <c r="N26" i="1" s="1"/>
  <c r="N50" i="1" s="1"/>
  <c r="V19" i="8" s="1"/>
  <c r="L48" i="2"/>
  <c r="N22" i="1" s="1"/>
  <c r="U15" i="8" s="1"/>
  <c r="U37" i="8" s="1"/>
  <c r="L42" i="2"/>
  <c r="N16" i="1" s="1"/>
  <c r="N40" i="1" s="1"/>
  <c r="L38" i="2"/>
  <c r="N12" i="1" s="1"/>
  <c r="U5" i="8" s="1"/>
  <c r="L49" i="2"/>
  <c r="N23" i="1" s="1"/>
  <c r="U16" i="8" s="1"/>
  <c r="U38" i="8" s="1"/>
  <c r="M31" i="1"/>
  <c r="M111" i="1" s="1"/>
  <c r="P6" i="8"/>
  <c r="L51" i="2"/>
  <c r="N25" i="1" s="1"/>
  <c r="U18" i="8" s="1"/>
  <c r="M44" i="1"/>
  <c r="Q13" i="8" s="1"/>
  <c r="Q35" i="8" s="1"/>
  <c r="L12" i="8"/>
  <c r="M29" i="5"/>
  <c r="L9" i="8"/>
  <c r="L32" i="8" s="1"/>
  <c r="M27" i="8"/>
  <c r="M20" i="8"/>
  <c r="M6" i="8"/>
  <c r="I39" i="1"/>
  <c r="L55" i="1"/>
  <c r="L167" i="1" s="1"/>
  <c r="N35" i="1"/>
  <c r="V4" i="8" s="1"/>
  <c r="H45" i="6"/>
  <c r="L134" i="5"/>
  <c r="L136" i="5" s="1"/>
  <c r="I35" i="1"/>
  <c r="K183" i="1"/>
  <c r="K31" i="8"/>
  <c r="M11" i="8"/>
  <c r="M33" i="8" s="1"/>
  <c r="L11" i="8"/>
  <c r="L33" i="8" s="1"/>
  <c r="E16" i="6"/>
  <c r="K167" i="1"/>
  <c r="B94" i="2" s="1"/>
  <c r="B100" i="2" s="1"/>
  <c r="D16" i="6"/>
  <c r="H47" i="7"/>
  <c r="H48" i="7" s="1"/>
  <c r="H88" i="7" s="1"/>
  <c r="H90" i="7" s="1"/>
  <c r="K184" i="1"/>
  <c r="G31" i="8"/>
  <c r="H31" i="8"/>
  <c r="L183" i="1"/>
  <c r="K56" i="1"/>
  <c r="D9" i="6" s="1"/>
  <c r="Q27" i="8"/>
  <c r="R22" i="8"/>
  <c r="Q23" i="8"/>
  <c r="R20" i="8"/>
  <c r="R21" i="8"/>
  <c r="R18" i="8"/>
  <c r="Q16" i="8"/>
  <c r="Q38" i="8" s="1"/>
  <c r="R14" i="8"/>
  <c r="R36" i="8" s="1"/>
  <c r="R16" i="8"/>
  <c r="R38" i="8" s="1"/>
  <c r="R6" i="8"/>
  <c r="R5" i="8"/>
  <c r="R4" i="8"/>
  <c r="M53" i="5"/>
  <c r="G88" i="7"/>
  <c r="N37" i="1" l="1"/>
  <c r="V6" i="8" s="1"/>
  <c r="H40" i="8"/>
  <c r="H39" i="8"/>
  <c r="K40" i="8"/>
  <c r="K39" i="8"/>
  <c r="G39" i="8"/>
  <c r="G40" i="8"/>
  <c r="Q33" i="8"/>
  <c r="L34" i="8"/>
  <c r="R34" i="8"/>
  <c r="W21" i="8"/>
  <c r="U21" i="8"/>
  <c r="H153" i="2"/>
  <c r="M153" i="2" s="1"/>
  <c r="O22" i="5" s="1"/>
  <c r="O46" i="5" s="1"/>
  <c r="P46" i="5" s="1"/>
  <c r="Q12" i="8"/>
  <c r="H150" i="2"/>
  <c r="M150" i="2" s="1"/>
  <c r="O19" i="5" s="1"/>
  <c r="P19" i="5" s="1"/>
  <c r="U10" i="8"/>
  <c r="H48" i="2"/>
  <c r="M48" i="2" s="1"/>
  <c r="O22" i="1" s="1"/>
  <c r="Z15" i="8" s="1"/>
  <c r="Z37" i="8" s="1"/>
  <c r="AE37" i="8" s="1"/>
  <c r="M39" i="2"/>
  <c r="O13" i="1" s="1"/>
  <c r="Z6" i="8" s="1"/>
  <c r="R7" i="8"/>
  <c r="H42" i="2"/>
  <c r="M42" i="2" s="1"/>
  <c r="O16" i="1" s="1"/>
  <c r="P16" i="1" s="1"/>
  <c r="H157" i="2"/>
  <c r="M157" i="2" s="1"/>
  <c r="O26" i="5" s="1"/>
  <c r="O50" i="5" s="1"/>
  <c r="P50" i="5" s="1"/>
  <c r="H55" i="2"/>
  <c r="M55" i="2" s="1"/>
  <c r="O29" i="1" s="1"/>
  <c r="O53" i="1" s="1"/>
  <c r="AB22" i="8" s="1"/>
  <c r="H156" i="2"/>
  <c r="M156" i="2" s="1"/>
  <c r="O25" i="5" s="1"/>
  <c r="O49" i="5" s="1"/>
  <c r="P49" i="5" s="1"/>
  <c r="H152" i="2"/>
  <c r="M152" i="2" s="1"/>
  <c r="O21" i="5" s="1"/>
  <c r="O45" i="5" s="1"/>
  <c r="P45" i="5" s="1"/>
  <c r="H52" i="2"/>
  <c r="M52" i="2" s="1"/>
  <c r="O26" i="1" s="1"/>
  <c r="O50" i="1" s="1"/>
  <c r="AA19" i="8" s="1"/>
  <c r="H56" i="2"/>
  <c r="M56" i="2" s="1"/>
  <c r="O30" i="1" s="1"/>
  <c r="Z23" i="8" s="1"/>
  <c r="H41" i="2"/>
  <c r="M41" i="2" s="1"/>
  <c r="O15" i="1" s="1"/>
  <c r="Z8" i="8" s="1"/>
  <c r="H47" i="2"/>
  <c r="M47" i="2" s="1"/>
  <c r="O21" i="1" s="1"/>
  <c r="Z14" i="8" s="1"/>
  <c r="Z36" i="8" s="1"/>
  <c r="AE36" i="8" s="1"/>
  <c r="H148" i="2"/>
  <c r="M148" i="2" s="1"/>
  <c r="O17" i="5" s="1"/>
  <c r="O41" i="5" s="1"/>
  <c r="P41" i="5" s="1"/>
  <c r="H43" i="2"/>
  <c r="M43" i="2" s="1"/>
  <c r="O17" i="1" s="1"/>
  <c r="O41" i="1" s="1"/>
  <c r="AB10" i="8" s="1"/>
  <c r="H54" i="2"/>
  <c r="M54" i="2" s="1"/>
  <c r="O28" i="1" s="1"/>
  <c r="P28" i="1" s="1"/>
  <c r="H37" i="2"/>
  <c r="M37" i="2" s="1"/>
  <c r="O11" i="1" s="1"/>
  <c r="Z4" i="8" s="1"/>
  <c r="H159" i="2"/>
  <c r="M159" i="2" s="1"/>
  <c r="O28" i="5" s="1"/>
  <c r="O52" i="5" s="1"/>
  <c r="P52" i="5" s="1"/>
  <c r="H151" i="2"/>
  <c r="M151" i="2" s="1"/>
  <c r="O20" i="5" s="1"/>
  <c r="O44" i="5" s="1"/>
  <c r="P44" i="5" s="1"/>
  <c r="U20" i="8"/>
  <c r="H50" i="2"/>
  <c r="M50" i="2" s="1"/>
  <c r="O24" i="1" s="1"/>
  <c r="O48" i="1" s="1"/>
  <c r="AA17" i="8" s="1"/>
  <c r="H154" i="2"/>
  <c r="M154" i="2" s="1"/>
  <c r="O23" i="5" s="1"/>
  <c r="O47" i="5" s="1"/>
  <c r="P47" i="5" s="1"/>
  <c r="H46" i="2"/>
  <c r="M46" i="2" s="1"/>
  <c r="O20" i="1" s="1"/>
  <c r="Z13" i="8" s="1"/>
  <c r="Z35" i="8" s="1"/>
  <c r="AE35" i="8" s="1"/>
  <c r="H147" i="2"/>
  <c r="M147" i="2" s="1"/>
  <c r="O16" i="5" s="1"/>
  <c r="O40" i="5" s="1"/>
  <c r="P40" i="5" s="1"/>
  <c r="H149" i="2"/>
  <c r="M149" i="2" s="1"/>
  <c r="O18" i="5" s="1"/>
  <c r="O42" i="5" s="1"/>
  <c r="P42" i="5" s="1"/>
  <c r="H141" i="2"/>
  <c r="M141" i="2" s="1"/>
  <c r="O10" i="5" s="1"/>
  <c r="O34" i="5" s="1"/>
  <c r="P34" i="5" s="1"/>
  <c r="H53" i="2"/>
  <c r="M53" i="2" s="1"/>
  <c r="O27" i="1" s="1"/>
  <c r="Z20" i="8" s="1"/>
  <c r="H144" i="2"/>
  <c r="M144" i="2" s="1"/>
  <c r="O13" i="5" s="1"/>
  <c r="O37" i="5" s="1"/>
  <c r="P37" i="5" s="1"/>
  <c r="H143" i="2"/>
  <c r="M143" i="2" s="1"/>
  <c r="O12" i="5" s="1"/>
  <c r="O36" i="5" s="1"/>
  <c r="P36" i="5" s="1"/>
  <c r="H44" i="2"/>
  <c r="M44" i="2" s="1"/>
  <c r="O18" i="1" s="1"/>
  <c r="P18" i="1" s="1"/>
  <c r="H146" i="2"/>
  <c r="M146" i="2" s="1"/>
  <c r="O15" i="5" s="1"/>
  <c r="O39" i="5" s="1"/>
  <c r="P39" i="5" s="1"/>
  <c r="H45" i="2"/>
  <c r="M45" i="2" s="1"/>
  <c r="O19" i="1" s="1"/>
  <c r="P19" i="1" s="1"/>
  <c r="H51" i="2"/>
  <c r="M51" i="2" s="1"/>
  <c r="O25" i="1" s="1"/>
  <c r="Z18" i="8" s="1"/>
  <c r="H140" i="2"/>
  <c r="M140" i="2" s="1"/>
  <c r="O9" i="5" s="1"/>
  <c r="P9" i="5" s="1"/>
  <c r="H158" i="2"/>
  <c r="M158" i="2" s="1"/>
  <c r="O27" i="5" s="1"/>
  <c r="O51" i="5" s="1"/>
  <c r="P51" i="5" s="1"/>
  <c r="H40" i="2"/>
  <c r="M40" i="2" s="1"/>
  <c r="O14" i="1" s="1"/>
  <c r="Z7" i="8" s="1"/>
  <c r="H38" i="2"/>
  <c r="M38" i="2" s="1"/>
  <c r="O12" i="1" s="1"/>
  <c r="P12" i="1" s="1"/>
  <c r="H49" i="2"/>
  <c r="M49" i="2" s="1"/>
  <c r="O23" i="1" s="1"/>
  <c r="Z16" i="8" s="1"/>
  <c r="Z38" i="8" s="1"/>
  <c r="AE38" i="8" s="1"/>
  <c r="H142" i="2"/>
  <c r="M142" i="2" s="1"/>
  <c r="O11" i="5" s="1"/>
  <c r="O35" i="5" s="1"/>
  <c r="P35" i="5" s="1"/>
  <c r="N54" i="5"/>
  <c r="U23" i="8"/>
  <c r="W23" i="8"/>
  <c r="H145" i="2"/>
  <c r="M145" i="2" s="1"/>
  <c r="O14" i="5" s="1"/>
  <c r="O38" i="5" s="1"/>
  <c r="P38" i="5" s="1"/>
  <c r="U22" i="8"/>
  <c r="R11" i="8"/>
  <c r="W7" i="8"/>
  <c r="U7" i="8"/>
  <c r="N46" i="1"/>
  <c r="V15" i="8" s="1"/>
  <c r="V37" i="8" s="1"/>
  <c r="N131" i="5"/>
  <c r="N183" i="1" s="1"/>
  <c r="U17" i="8"/>
  <c r="R19" i="8"/>
  <c r="Q10" i="8"/>
  <c r="R17" i="8"/>
  <c r="R15" i="8"/>
  <c r="R37" i="8" s="1"/>
  <c r="U12" i="8"/>
  <c r="U11" i="8"/>
  <c r="U19" i="8"/>
  <c r="P31" i="8"/>
  <c r="U8" i="8"/>
  <c r="W8" i="8"/>
  <c r="W33" i="8" s="1"/>
  <c r="N47" i="1"/>
  <c r="V16" i="8" s="1"/>
  <c r="V38" i="8" s="1"/>
  <c r="N45" i="1"/>
  <c r="V14" i="8" s="1"/>
  <c r="V36" i="8" s="1"/>
  <c r="R8" i="8"/>
  <c r="R13" i="8"/>
  <c r="R35" i="8" s="1"/>
  <c r="Q9" i="8"/>
  <c r="N44" i="1"/>
  <c r="V13" i="8" s="1"/>
  <c r="V35" i="8" s="1"/>
  <c r="O48" i="5"/>
  <c r="P48" i="5" s="1"/>
  <c r="M55" i="1"/>
  <c r="M56" i="1" s="1"/>
  <c r="W19" i="8"/>
  <c r="U9" i="8"/>
  <c r="U27" i="8"/>
  <c r="N36" i="1"/>
  <c r="V5" i="8" s="1"/>
  <c r="V27" i="8" s="1"/>
  <c r="N31" i="1"/>
  <c r="N111" i="1" s="1"/>
  <c r="N126" i="1" s="1"/>
  <c r="N49" i="1"/>
  <c r="V18" i="8" s="1"/>
  <c r="M131" i="5"/>
  <c r="M183" i="1" s="1"/>
  <c r="M31" i="8"/>
  <c r="L184" i="1"/>
  <c r="L56" i="1"/>
  <c r="E9" i="6" s="1"/>
  <c r="L31" i="8"/>
  <c r="C98" i="2"/>
  <c r="C112" i="2" s="1"/>
  <c r="B109" i="2"/>
  <c r="B130" i="2" s="1"/>
  <c r="D42" i="6"/>
  <c r="B98" i="2"/>
  <c r="B112" i="2" s="1"/>
  <c r="B134" i="2" s="1"/>
  <c r="B95" i="2"/>
  <c r="B105" i="2" s="1"/>
  <c r="B122" i="2" s="1"/>
  <c r="I49" i="7"/>
  <c r="I47" i="7"/>
  <c r="V11" i="8"/>
  <c r="V33" i="8" s="1"/>
  <c r="B96" i="2"/>
  <c r="C95" i="2"/>
  <c r="E42" i="6"/>
  <c r="C94" i="2"/>
  <c r="W10" i="8"/>
  <c r="V12" i="8"/>
  <c r="W20" i="8"/>
  <c r="W9" i="8"/>
  <c r="W34" i="8" s="1"/>
  <c r="V9" i="8"/>
  <c r="V32" i="8" s="1"/>
  <c r="W22" i="8"/>
  <c r="W17" i="8"/>
  <c r="R27" i="8"/>
  <c r="W4" i="8"/>
  <c r="G90" i="7"/>
  <c r="I88" i="7"/>
  <c r="I90" i="7" s="1"/>
  <c r="M126" i="1"/>
  <c r="F16" i="6"/>
  <c r="M54" i="5"/>
  <c r="W6" i="8" l="1"/>
  <c r="R32" i="8"/>
  <c r="P39" i="8"/>
  <c r="P40" i="8"/>
  <c r="L39" i="8"/>
  <c r="L40" i="8"/>
  <c r="M39" i="8"/>
  <c r="M40" i="8"/>
  <c r="U32" i="8"/>
  <c r="U33" i="8"/>
  <c r="U34" i="8"/>
  <c r="Q34" i="8"/>
  <c r="V34" i="8"/>
  <c r="R33" i="8"/>
  <c r="Q32" i="8"/>
  <c r="W32" i="8"/>
  <c r="P22" i="5"/>
  <c r="P22" i="1"/>
  <c r="P13" i="1"/>
  <c r="P15" i="1"/>
  <c r="O39" i="1"/>
  <c r="AA8" i="8" s="1"/>
  <c r="O46" i="1"/>
  <c r="AA15" i="8" s="1"/>
  <c r="AA37" i="8" s="1"/>
  <c r="AF37" i="8" s="1"/>
  <c r="AG37" i="8" s="1"/>
  <c r="P21" i="1"/>
  <c r="O43" i="5"/>
  <c r="P43" i="5" s="1"/>
  <c r="P25" i="5"/>
  <c r="O52" i="1"/>
  <c r="AA21" i="8" s="1"/>
  <c r="O37" i="1"/>
  <c r="P37" i="1" s="1"/>
  <c r="Z21" i="8"/>
  <c r="P21" i="5"/>
  <c r="P41" i="1"/>
  <c r="AA10" i="8"/>
  <c r="Z9" i="8"/>
  <c r="O40" i="1"/>
  <c r="P40" i="1" s="1"/>
  <c r="O42" i="1"/>
  <c r="AA11" i="8" s="1"/>
  <c r="O35" i="1"/>
  <c r="AA4" i="8" s="1"/>
  <c r="P30" i="1"/>
  <c r="P11" i="1"/>
  <c r="O54" i="1"/>
  <c r="AA23" i="8" s="1"/>
  <c r="Z10" i="8"/>
  <c r="Z22" i="8"/>
  <c r="P29" i="1"/>
  <c r="P17" i="1"/>
  <c r="O44" i="1"/>
  <c r="AA13" i="8" s="1"/>
  <c r="AA35" i="8" s="1"/>
  <c r="AF35" i="8" s="1"/>
  <c r="AG35" i="8" s="1"/>
  <c r="P50" i="1"/>
  <c r="P12" i="5"/>
  <c r="Z19" i="8"/>
  <c r="P28" i="5"/>
  <c r="P26" i="5"/>
  <c r="P26" i="1"/>
  <c r="AB19" i="8"/>
  <c r="Z11" i="8"/>
  <c r="Z33" i="8" s="1"/>
  <c r="P20" i="1"/>
  <c r="P17" i="5"/>
  <c r="O45" i="1"/>
  <c r="AA14" i="8" s="1"/>
  <c r="AA36" i="8" s="1"/>
  <c r="AF36" i="8" s="1"/>
  <c r="AG36" i="8" s="1"/>
  <c r="P23" i="5"/>
  <c r="O36" i="1"/>
  <c r="AB5" i="8" s="1"/>
  <c r="P20" i="5"/>
  <c r="Z5" i="8"/>
  <c r="Z27" i="8" s="1"/>
  <c r="AE27" i="8" s="1"/>
  <c r="P24" i="1"/>
  <c r="Z17" i="8"/>
  <c r="O43" i="1"/>
  <c r="AB12" i="8" s="1"/>
  <c r="P11" i="5"/>
  <c r="P13" i="5"/>
  <c r="Z12" i="8"/>
  <c r="P14" i="5"/>
  <c r="P16" i="5"/>
  <c r="P14" i="1"/>
  <c r="P25" i="1"/>
  <c r="P10" i="5"/>
  <c r="O51" i="1"/>
  <c r="AA20" i="8" s="1"/>
  <c r="O33" i="5"/>
  <c r="P33" i="5" s="1"/>
  <c r="P18" i="5"/>
  <c r="P27" i="1"/>
  <c r="N134" i="5"/>
  <c r="N136" i="5" s="1"/>
  <c r="N184" i="1" s="1"/>
  <c r="O29" i="5"/>
  <c r="P29" i="5" s="1"/>
  <c r="P15" i="5"/>
  <c r="P27" i="5"/>
  <c r="O49" i="1"/>
  <c r="AA18" i="8" s="1"/>
  <c r="P23" i="1"/>
  <c r="O31" i="1"/>
  <c r="P31" i="1" s="1"/>
  <c r="O47" i="1"/>
  <c r="AA16" i="8" s="1"/>
  <c r="AA38" i="8" s="1"/>
  <c r="AF38" i="8" s="1"/>
  <c r="AG38" i="8" s="1"/>
  <c r="O38" i="1"/>
  <c r="P38" i="1" s="1"/>
  <c r="W15" i="8"/>
  <c r="W37" i="8" s="1"/>
  <c r="W13" i="8"/>
  <c r="W35" i="8" s="1"/>
  <c r="Q31" i="8"/>
  <c r="W5" i="8"/>
  <c r="W27" i="8" s="1"/>
  <c r="W14" i="8"/>
  <c r="W36" i="8" s="1"/>
  <c r="U31" i="8"/>
  <c r="R31" i="8"/>
  <c r="W16" i="8"/>
  <c r="W38" i="8" s="1"/>
  <c r="M167" i="1"/>
  <c r="N55" i="1"/>
  <c r="N56" i="1" s="1"/>
  <c r="G9" i="6" s="1"/>
  <c r="W18" i="8"/>
  <c r="M134" i="5"/>
  <c r="M136" i="5" s="1"/>
  <c r="AB17" i="8"/>
  <c r="P48" i="1"/>
  <c r="AA22" i="8"/>
  <c r="C96" i="2"/>
  <c r="C107" i="2" s="1"/>
  <c r="P53" i="1"/>
  <c r="K170" i="1"/>
  <c r="B97" i="2" s="1"/>
  <c r="B103" i="2"/>
  <c r="B110" i="2"/>
  <c r="B102" i="2"/>
  <c r="B101" i="2"/>
  <c r="B135" i="2" s="1"/>
  <c r="B111" i="2"/>
  <c r="B132" i="2" s="1"/>
  <c r="G16" i="6"/>
  <c r="K173" i="1"/>
  <c r="B106" i="2"/>
  <c r="B107" i="2"/>
  <c r="C103" i="2"/>
  <c r="L170" i="1"/>
  <c r="C106" i="2"/>
  <c r="C105" i="2"/>
  <c r="C111" i="2"/>
  <c r="C100" i="2"/>
  <c r="C102" i="2"/>
  <c r="C109" i="2"/>
  <c r="C101" i="2"/>
  <c r="C110" i="2"/>
  <c r="V31" i="8"/>
  <c r="D96" i="2"/>
  <c r="D107" i="2" s="1"/>
  <c r="F9" i="6"/>
  <c r="Z34" i="8" l="1"/>
  <c r="AE34" i="8" s="1"/>
  <c r="V40" i="8"/>
  <c r="V39" i="8"/>
  <c r="R39" i="8"/>
  <c r="R40" i="8"/>
  <c r="U39" i="8"/>
  <c r="U40" i="8"/>
  <c r="Q40" i="8"/>
  <c r="Q39" i="8"/>
  <c r="AE33" i="8"/>
  <c r="AA33" i="8"/>
  <c r="AF33" i="8" s="1"/>
  <c r="Z32" i="8"/>
  <c r="AE32" i="8" s="1"/>
  <c r="C126" i="2"/>
  <c r="P46" i="1"/>
  <c r="AB15" i="8"/>
  <c r="AB37" i="8" s="1"/>
  <c r="AB8" i="8"/>
  <c r="P39" i="1"/>
  <c r="P42" i="1"/>
  <c r="AA9" i="8"/>
  <c r="AB6" i="8"/>
  <c r="AB21" i="8"/>
  <c r="P52" i="1"/>
  <c r="AB9" i="8"/>
  <c r="AB34" i="8" s="1"/>
  <c r="AA6" i="8"/>
  <c r="AB4" i="8"/>
  <c r="AB27" i="8" s="1"/>
  <c r="P44" i="1"/>
  <c r="P45" i="1"/>
  <c r="AB23" i="8"/>
  <c r="P54" i="1"/>
  <c r="AB13" i="8"/>
  <c r="AB35" i="8" s="1"/>
  <c r="P35" i="1"/>
  <c r="AB11" i="8"/>
  <c r="AA12" i="8"/>
  <c r="P43" i="1"/>
  <c r="O53" i="5"/>
  <c r="P53" i="5" s="1"/>
  <c r="P54" i="5" s="1"/>
  <c r="AB14" i="8"/>
  <c r="AB36" i="8" s="1"/>
  <c r="AA5" i="8"/>
  <c r="AA27" i="8" s="1"/>
  <c r="AF27" i="8" s="1"/>
  <c r="AG27" i="8" s="1"/>
  <c r="P36" i="1"/>
  <c r="Z31" i="8"/>
  <c r="AB20" i="8"/>
  <c r="P51" i="1"/>
  <c r="P49" i="1"/>
  <c r="O111" i="1"/>
  <c r="O126" i="1" s="1"/>
  <c r="P126" i="1" s="1"/>
  <c r="AB7" i="8"/>
  <c r="AB16" i="8"/>
  <c r="AB38" i="8" s="1"/>
  <c r="AA7" i="8"/>
  <c r="P47" i="1"/>
  <c r="O55" i="1"/>
  <c r="O56" i="1" s="1"/>
  <c r="F96" i="2" s="1"/>
  <c r="F107" i="2" s="1"/>
  <c r="AB18" i="8"/>
  <c r="W31" i="8"/>
  <c r="N167" i="1"/>
  <c r="E98" i="2" s="1"/>
  <c r="E112" i="2" s="1"/>
  <c r="E96" i="2"/>
  <c r="E107" i="2" s="1"/>
  <c r="K137" i="5"/>
  <c r="K185" i="1" s="1"/>
  <c r="K172" i="1"/>
  <c r="B104" i="2" s="1"/>
  <c r="B121" i="2" s="1"/>
  <c r="B108" i="2"/>
  <c r="B128" i="2" s="1"/>
  <c r="D44" i="6"/>
  <c r="B123" i="2"/>
  <c r="B133" i="2"/>
  <c r="E44" i="6"/>
  <c r="L173" i="1"/>
  <c r="L137" i="5" s="1"/>
  <c r="B126" i="2"/>
  <c r="B127" i="2"/>
  <c r="C133" i="2"/>
  <c r="C123" i="2"/>
  <c r="C135" i="2"/>
  <c r="C125" i="2"/>
  <c r="C127" i="2"/>
  <c r="B124" i="2"/>
  <c r="B125" i="2"/>
  <c r="L172" i="1"/>
  <c r="C108" i="2"/>
  <c r="C129" i="2" s="1"/>
  <c r="C97" i="2"/>
  <c r="C122" i="2"/>
  <c r="C124" i="2"/>
  <c r="C132" i="2"/>
  <c r="C134" i="2"/>
  <c r="C130" i="2"/>
  <c r="M184" i="1"/>
  <c r="D98" i="2"/>
  <c r="D112" i="2" s="1"/>
  <c r="D94" i="2"/>
  <c r="F42" i="6"/>
  <c r="D95" i="2"/>
  <c r="AG33" i="8" l="1"/>
  <c r="AB33" i="8"/>
  <c r="AA34" i="8"/>
  <c r="AF34" i="8" s="1"/>
  <c r="AG34" i="8" s="1"/>
  <c r="AE31" i="8"/>
  <c r="Z39" i="8"/>
  <c r="Z40" i="8"/>
  <c r="W40" i="8"/>
  <c r="W39" i="8"/>
  <c r="AA32" i="8"/>
  <c r="AF32" i="8" s="1"/>
  <c r="AG32" i="8" s="1"/>
  <c r="AB32" i="8"/>
  <c r="C128" i="2"/>
  <c r="B120" i="2"/>
  <c r="O131" i="5"/>
  <c r="O183" i="1" s="1"/>
  <c r="AA31" i="8"/>
  <c r="O54" i="5"/>
  <c r="H9" i="6"/>
  <c r="I9" i="6" s="1"/>
  <c r="AB31" i="8"/>
  <c r="H16" i="6"/>
  <c r="I16" i="6" s="1"/>
  <c r="P111" i="1"/>
  <c r="P55" i="1"/>
  <c r="P56" i="1" s="1"/>
  <c r="O167" i="1"/>
  <c r="H42" i="6" s="1"/>
  <c r="G107" i="2"/>
  <c r="E95" i="2"/>
  <c r="E105" i="2" s="1"/>
  <c r="G42" i="6"/>
  <c r="E94" i="2"/>
  <c r="E101" i="2" s="1"/>
  <c r="K138" i="5"/>
  <c r="K186" i="1" s="1"/>
  <c r="L185" i="1"/>
  <c r="L138" i="5"/>
  <c r="K175" i="1"/>
  <c r="D47" i="6" s="1"/>
  <c r="D87" i="6" s="1"/>
  <c r="D89" i="6" s="1"/>
  <c r="D46" i="6"/>
  <c r="L175" i="1"/>
  <c r="L158" i="5" s="1"/>
  <c r="L190" i="1" s="1"/>
  <c r="B129" i="2"/>
  <c r="M170" i="1"/>
  <c r="M173" i="1" s="1"/>
  <c r="G96" i="2"/>
  <c r="K190" i="1"/>
  <c r="D105" i="2"/>
  <c r="D106" i="2"/>
  <c r="C104" i="2"/>
  <c r="C121" i="2" s="1"/>
  <c r="E46" i="6"/>
  <c r="D110" i="2"/>
  <c r="D103" i="2"/>
  <c r="D111" i="2"/>
  <c r="D100" i="2"/>
  <c r="D109" i="2"/>
  <c r="D102" i="2"/>
  <c r="D101" i="2"/>
  <c r="M137" i="5" s="1"/>
  <c r="AB39" i="8" l="1"/>
  <c r="AB40" i="8"/>
  <c r="AF31" i="8"/>
  <c r="AF39" i="8" s="1"/>
  <c r="AA40" i="8"/>
  <c r="AA39" i="8"/>
  <c r="AE40" i="8"/>
  <c r="AE39" i="8"/>
  <c r="P131" i="5"/>
  <c r="P183" i="1" s="1"/>
  <c r="O134" i="5"/>
  <c r="O136" i="5" s="1"/>
  <c r="P136" i="5" s="1"/>
  <c r="P184" i="1" s="1"/>
  <c r="F98" i="2"/>
  <c r="F112" i="2" s="1"/>
  <c r="G112" i="2" s="1"/>
  <c r="P167" i="1"/>
  <c r="I42" i="6"/>
  <c r="J42" i="6" s="1"/>
  <c r="F95" i="2"/>
  <c r="F106" i="2" s="1"/>
  <c r="F94" i="2"/>
  <c r="F109" i="2" s="1"/>
  <c r="E100" i="2"/>
  <c r="E134" i="2" s="1"/>
  <c r="E109" i="2"/>
  <c r="E110" i="2"/>
  <c r="E102" i="2"/>
  <c r="E111" i="2"/>
  <c r="E133" i="2" s="1"/>
  <c r="N170" i="1"/>
  <c r="N173" i="1" s="1"/>
  <c r="E106" i="2"/>
  <c r="E125" i="2" s="1"/>
  <c r="E103" i="2"/>
  <c r="M172" i="1"/>
  <c r="M175" i="1" s="1"/>
  <c r="K157" i="5"/>
  <c r="K189" i="1" s="1"/>
  <c r="M185" i="1"/>
  <c r="M138" i="5"/>
  <c r="L157" i="5"/>
  <c r="L189" i="1" s="1"/>
  <c r="L186" i="1"/>
  <c r="E47" i="6"/>
  <c r="E87" i="6" s="1"/>
  <c r="E89" i="6" s="1"/>
  <c r="D108" i="2"/>
  <c r="D129" i="2" s="1"/>
  <c r="M158" i="5"/>
  <c r="M190" i="1" s="1"/>
  <c r="D133" i="2"/>
  <c r="D127" i="2"/>
  <c r="D123" i="2"/>
  <c r="D135" i="2"/>
  <c r="D125" i="2"/>
  <c r="E123" i="2"/>
  <c r="E135" i="2"/>
  <c r="E127" i="2"/>
  <c r="C120" i="2"/>
  <c r="D132" i="2"/>
  <c r="D126" i="2"/>
  <c r="D122" i="2"/>
  <c r="D130" i="2"/>
  <c r="D134" i="2"/>
  <c r="D124" i="2"/>
  <c r="D97" i="2"/>
  <c r="F44" i="6"/>
  <c r="AG31" i="8" l="1"/>
  <c r="AG40" i="8" s="1"/>
  <c r="AF40" i="8"/>
  <c r="E132" i="2"/>
  <c r="E126" i="2"/>
  <c r="E124" i="2"/>
  <c r="E122" i="2"/>
  <c r="E130" i="2"/>
  <c r="O184" i="1"/>
  <c r="P134" i="5"/>
  <c r="F105" i="2"/>
  <c r="G105" i="2" s="1"/>
  <c r="G98" i="2"/>
  <c r="F102" i="2"/>
  <c r="G102" i="2" s="1"/>
  <c r="F101" i="2"/>
  <c r="F127" i="2" s="1"/>
  <c r="G127" i="2" s="1"/>
  <c r="G95" i="2"/>
  <c r="G94" i="2"/>
  <c r="F103" i="2"/>
  <c r="G103" i="2" s="1"/>
  <c r="F110" i="2"/>
  <c r="G110" i="2" s="1"/>
  <c r="G109" i="2"/>
  <c r="O170" i="1"/>
  <c r="O173" i="1" s="1"/>
  <c r="P173" i="1" s="1"/>
  <c r="F111" i="2"/>
  <c r="G111" i="2" s="1"/>
  <c r="F100" i="2"/>
  <c r="E108" i="2"/>
  <c r="E128" i="2" s="1"/>
  <c r="G106" i="2"/>
  <c r="N172" i="1"/>
  <c r="N175" i="1" s="1"/>
  <c r="N158" i="5" s="1"/>
  <c r="N190" i="1" s="1"/>
  <c r="E97" i="2"/>
  <c r="G44" i="6"/>
  <c r="O137" i="5"/>
  <c r="N137" i="5"/>
  <c r="M186" i="1"/>
  <c r="M157" i="5"/>
  <c r="M189" i="1" s="1"/>
  <c r="D128" i="2"/>
  <c r="D104" i="2"/>
  <c r="D121" i="2" s="1"/>
  <c r="F46" i="6"/>
  <c r="AG39" i="8" l="1"/>
  <c r="G100" i="2"/>
  <c r="F130" i="2"/>
  <c r="G130" i="2" s="1"/>
  <c r="F124" i="2"/>
  <c r="G124" i="2" s="1"/>
  <c r="F126" i="2"/>
  <c r="G126" i="2" s="1"/>
  <c r="F122" i="2"/>
  <c r="G122" i="2" s="1"/>
  <c r="F132" i="2"/>
  <c r="G132" i="2" s="1"/>
  <c r="F134" i="2"/>
  <c r="G134" i="2" s="1"/>
  <c r="O172" i="1"/>
  <c r="O175" i="1" s="1"/>
  <c r="H47" i="6" s="1"/>
  <c r="H87" i="6" s="1"/>
  <c r="H89" i="6" s="1"/>
  <c r="F135" i="2"/>
  <c r="G135" i="2" s="1"/>
  <c r="F123" i="2"/>
  <c r="G123" i="2" s="1"/>
  <c r="F108" i="2"/>
  <c r="F129" i="2" s="1"/>
  <c r="G101" i="2"/>
  <c r="F97" i="2"/>
  <c r="G97" i="2" s="1"/>
  <c r="F125" i="2"/>
  <c r="G125" i="2" s="1"/>
  <c r="F133" i="2"/>
  <c r="G133" i="2" s="1"/>
  <c r="H44" i="6"/>
  <c r="I44" i="6" s="1"/>
  <c r="P170" i="1"/>
  <c r="E129" i="2"/>
  <c r="G46" i="6"/>
  <c r="E104" i="2"/>
  <c r="E120" i="2" s="1"/>
  <c r="O185" i="1"/>
  <c r="O138" i="5"/>
  <c r="N185" i="1"/>
  <c r="N138" i="5"/>
  <c r="P137" i="5"/>
  <c r="P185" i="1" s="1"/>
  <c r="G47" i="6"/>
  <c r="G87" i="6" s="1"/>
  <c r="G89" i="6" s="1"/>
  <c r="F47" i="6"/>
  <c r="F87" i="6" s="1"/>
  <c r="D120" i="2"/>
  <c r="F128" i="2" l="1"/>
  <c r="G128" i="2" s="1"/>
  <c r="P175" i="1"/>
  <c r="P172" i="1"/>
  <c r="H46" i="6"/>
  <c r="I46" i="6" s="1"/>
  <c r="F104" i="2"/>
  <c r="G129" i="2"/>
  <c r="G108" i="2"/>
  <c r="E121" i="2"/>
  <c r="O157" i="5"/>
  <c r="O186" i="1"/>
  <c r="N157" i="5"/>
  <c r="N186" i="1"/>
  <c r="P138" i="5"/>
  <c r="P186" i="1" s="1"/>
  <c r="P158" i="5"/>
  <c r="F89" i="6"/>
  <c r="I87" i="6"/>
  <c r="I89" i="6" s="1"/>
  <c r="P177" i="1" l="1"/>
  <c r="G104" i="2"/>
  <c r="F120" i="2"/>
  <c r="G120" i="2" s="1"/>
  <c r="I48" i="6"/>
  <c r="F121" i="2"/>
  <c r="G121" i="2" s="1"/>
  <c r="O158" i="5"/>
  <c r="O190" i="1" s="1"/>
  <c r="O189" i="1"/>
  <c r="N189" i="1"/>
  <c r="P157" i="5"/>
  <c r="P189" i="1" s="1"/>
  <c r="R158" i="5"/>
  <c r="P19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Corey Rose</author>
    <author>KR</author>
  </authors>
  <commentList>
    <comment ref="C9" authorId="0" shapeId="0" xr:uid="{00000000-0006-0000-0000-000001000000}">
      <text>
        <r>
          <rPr>
            <sz val="9"/>
            <color indexed="81"/>
            <rFont val="Tahoma"/>
            <family val="2"/>
          </rPr>
          <t>If start date is in the next fiscal year, manually include a projected increase in Annual Salary column.</t>
        </r>
      </text>
    </comment>
    <comment ref="Y65" authorId="1" shapeId="0" xr:uid="{00000000-0006-0000-0000-000002000000}">
      <text>
        <r>
          <rPr>
            <sz val="9"/>
            <color rgb="FF000000"/>
            <rFont val="Calibri"/>
            <family val="2"/>
            <scheme val="minor"/>
          </rPr>
          <t>Miles Round Trip calculates at Miles Round Trip X number of trips X reimbursement rate</t>
        </r>
      </text>
    </comment>
    <comment ref="AC65" authorId="1" shapeId="0" xr:uid="{00000000-0006-0000-0000-000003000000}">
      <text>
        <r>
          <rPr>
            <sz val="9"/>
            <color rgb="FF000000"/>
            <rFont val="Calibri"/>
            <family val="2"/>
            <scheme val="minor"/>
          </rPr>
          <t>Other calculates at: Other rate X number of trips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Corey Rose</author>
    <author>KR</author>
  </authors>
  <commentList>
    <comment ref="C7" authorId="0" shapeId="0" xr:uid="{00000000-0006-0000-0200-000001000000}">
      <text>
        <r>
          <rPr>
            <b/>
            <sz val="9"/>
            <color indexed="81"/>
            <rFont val="Tahoma"/>
            <family val="2"/>
          </rPr>
          <t>If start date is in the next fiscal year, include a projected increase in Annual Salary column.</t>
        </r>
      </text>
    </comment>
    <comment ref="C134" authorId="1" shapeId="0" xr:uid="{00000000-0006-0000-0200-000002000000}">
      <text>
        <r>
          <rPr>
            <sz val="9"/>
            <color indexed="81"/>
            <rFont val="Tahoma"/>
            <family val="2"/>
          </rPr>
          <t>Pulls from Budget Tab Cell C168</t>
        </r>
      </text>
    </comment>
    <comment ref="F137" authorId="1" shapeId="0" xr:uid="{00000000-0006-0000-0200-000003000000}">
      <text>
        <r>
          <rPr>
            <sz val="8"/>
            <color indexed="81"/>
            <rFont val="Tahoma"/>
            <family val="2"/>
          </rPr>
          <t>Pulls from Budget Tab Cell G183</t>
        </r>
      </text>
    </comment>
    <comment ref="C158" authorId="1" shapeId="0" xr:uid="{00000000-0006-0000-0200-000004000000}">
      <text>
        <r>
          <rPr>
            <sz val="9"/>
            <color indexed="81"/>
            <rFont val="Tahoma"/>
            <family val="2"/>
          </rPr>
          <t>Pulls from Budget Tab Cell C177.</t>
        </r>
      </text>
    </comment>
  </commentList>
</comments>
</file>

<file path=xl/sharedStrings.xml><?xml version="1.0" encoding="utf-8"?>
<sst xmlns="http://schemas.openxmlformats.org/spreadsheetml/2006/main" count="1083" uniqueCount="350">
  <si>
    <t>Yes</t>
  </si>
  <si>
    <t>NOTE: Do NOT save this template to your computer. Bookmark the link and re-download for each new proposal to make sure you have the most current rates.</t>
  </si>
  <si>
    <t>PI Name:</t>
  </si>
  <si>
    <t xml:space="preserve">Period 1 </t>
  </si>
  <si>
    <t>Period 2</t>
  </si>
  <si>
    <t>Period 3</t>
  </si>
  <si>
    <t>Period 4</t>
  </si>
  <si>
    <t>Period 5</t>
  </si>
  <si>
    <t>Total</t>
  </si>
  <si>
    <t>Unit Name:</t>
  </si>
  <si>
    <t>Start Date:</t>
  </si>
  <si>
    <t>Number of Months in Each Budget Period:</t>
  </si>
  <si>
    <t>Salary</t>
  </si>
  <si>
    <r>
      <t xml:space="preserve">Effort / Person Months Conversion Calculator
</t>
    </r>
    <r>
      <rPr>
        <b/>
        <u/>
        <sz val="10"/>
        <color theme="1"/>
        <rFont val="Calibri"/>
        <family val="2"/>
        <scheme val="minor"/>
      </rPr>
      <t>Enter % Effort Based on Appointment Type</t>
    </r>
    <r>
      <rPr>
        <b/>
        <sz val="10"/>
        <color theme="1"/>
        <rFont val="Calibri"/>
        <family val="2"/>
        <scheme val="minor"/>
      </rPr>
      <t xml:space="preserve">. Person Months and Hours will auto calculate. 
</t>
    </r>
  </si>
  <si>
    <t>Name / Role</t>
  </si>
  <si>
    <t>Annual Salary</t>
  </si>
  <si>
    <t>% Effort Per Each Budget Period</t>
  </si>
  <si>
    <t>Salary Escalation</t>
  </si>
  <si>
    <t>12 Month Appointment</t>
  </si>
  <si>
    <t>9 Month Appointment</t>
  </si>
  <si>
    <t>3 Month Summer Term</t>
  </si>
  <si>
    <t>Per 1</t>
  </si>
  <si>
    <t>Per 2</t>
  </si>
  <si>
    <t>Per 3</t>
  </si>
  <si>
    <t>Per 4</t>
  </si>
  <si>
    <t>Per 5</t>
  </si>
  <si>
    <t>% Effort</t>
  </si>
  <si>
    <t>Person Months (PM)</t>
  </si>
  <si>
    <t>PM</t>
  </si>
  <si>
    <t>Fiscal Year</t>
  </si>
  <si>
    <t xml:space="preserve"> </t>
  </si>
  <si>
    <t>Hours</t>
  </si>
  <si>
    <t>* Look Up Salary Rates Based on Job Code - Click Here</t>
  </si>
  <si>
    <t>* Academic Salary Scales - Click Here</t>
  </si>
  <si>
    <t>* General Information on Budget Preparation - Click Here</t>
  </si>
  <si>
    <t>Total Salaries</t>
  </si>
  <si>
    <t>Benefits</t>
  </si>
  <si>
    <t>Includes projected FY increases</t>
  </si>
  <si>
    <t>Agricultural &amp; Natural Resources Consolidated Fringe Benefit Rates</t>
  </si>
  <si>
    <t>Select Group</t>
  </si>
  <si>
    <t>Retirement Eligible (Career / Contract)</t>
  </si>
  <si>
    <t>B</t>
  </si>
  <si>
    <t>A</t>
  </si>
  <si>
    <t>C</t>
  </si>
  <si>
    <t>Non-Retirement Eligible (Limited Term)</t>
  </si>
  <si>
    <t>D</t>
  </si>
  <si>
    <t>Postdoc Employees</t>
  </si>
  <si>
    <t>E</t>
  </si>
  <si>
    <t>UC Davis Grad &amp; Undergrad Students (TC:  4920)</t>
  </si>
  <si>
    <t>F</t>
  </si>
  <si>
    <t>All Limited Term Employees (includes non-UCD students; TC: 9995)</t>
  </si>
  <si>
    <t>Total Benefits</t>
  </si>
  <si>
    <t>Total Personnel Costs</t>
  </si>
  <si>
    <t>Equipment (single items w/cost exceeding $5,000 USD)</t>
  </si>
  <si>
    <t>Description</t>
  </si>
  <si>
    <t>Total Equipment</t>
  </si>
  <si>
    <t>Description: #trips, miles, rate, lodging, etc…</t>
  </si>
  <si>
    <t>Optional Travel Calculator</t>
  </si>
  <si>
    <t>US GSA M&amp;IE Info</t>
  </si>
  <si>
    <t>US GSA Max Lodging</t>
  </si>
  <si>
    <t># of Trips</t>
  </si>
  <si>
    <t># Travelers</t>
  </si>
  <si>
    <t># Days</t>
  </si>
  <si>
    <t># of Nights</t>
  </si>
  <si>
    <t>Meals &amp; Incidentals</t>
  </si>
  <si>
    <t>Lodging</t>
  </si>
  <si>
    <t>Air Travel</t>
  </si>
  <si>
    <t>Daily Rental Car Rate</t>
  </si>
  <si>
    <t>Daily Parking fee</t>
  </si>
  <si>
    <t>Other</t>
  </si>
  <si>
    <t>Total Travel - Domestic</t>
  </si>
  <si>
    <t>Total Travel - Foreign</t>
  </si>
  <si>
    <t>Total Travel Costs</t>
  </si>
  <si>
    <t>Stipends - Description</t>
  </si>
  <si>
    <t>Travel Expenses - Description</t>
  </si>
  <si>
    <t>Registration Fees - Description</t>
  </si>
  <si>
    <t>Subsistence Costs - Housing and Meals - Description</t>
  </si>
  <si>
    <t>Total Participant Support Costs</t>
  </si>
  <si>
    <t>Materials and Supplies</t>
  </si>
  <si>
    <t>Total Supplies</t>
  </si>
  <si>
    <t>Other Costs</t>
  </si>
  <si>
    <t>* General, Auto, and Employment Liability (GAEL) Information. Assessment per $100 of salary - Click Here</t>
  </si>
  <si>
    <t>Example: REC Recharges</t>
  </si>
  <si>
    <t>Example: Vendor Services</t>
  </si>
  <si>
    <t>Example: Consultant</t>
  </si>
  <si>
    <t>Total Other Costs</t>
  </si>
  <si>
    <t>Subawards</t>
  </si>
  <si>
    <t>* Vendors, Consultants, Purchase Agreements, farm labor, etc... are not entered under this section.</t>
  </si>
  <si>
    <t>UC</t>
  </si>
  <si>
    <t>* Information about determining Subawards versus Vendors - Click Here</t>
  </si>
  <si>
    <t>IF MTDC: amount to include for IDC Calculations</t>
  </si>
  <si>
    <t>Non-UC</t>
  </si>
  <si>
    <t>Total Subawards</t>
  </si>
  <si>
    <t>Other Costs Excluded from Indirect Costs (Off-Campus Rent, Tuition Remission)</t>
  </si>
  <si>
    <t>Off-Campus Rent</t>
  </si>
  <si>
    <t>Tuition Remission</t>
  </si>
  <si>
    <t>Total Other Costs- No Indirects</t>
  </si>
  <si>
    <t>Total Direct Cost</t>
  </si>
  <si>
    <t>Indirect Costs</t>
  </si>
  <si>
    <t>Project Type:</t>
  </si>
  <si>
    <t>Research - Off Campus</t>
  </si>
  <si>
    <t>Base Amount</t>
  </si>
  <si>
    <t>Choose Base:</t>
  </si>
  <si>
    <t>Other Sponsored Activity - Off Campus</t>
  </si>
  <si>
    <t>Total Indirect Cost</t>
  </si>
  <si>
    <t>Total Cost</t>
  </si>
  <si>
    <t>Is there a Maximum Amount you can't exceed? If yes, enter here:</t>
  </si>
  <si>
    <t>Difference between Total Cost and Maximum Amount:</t>
  </si>
  <si>
    <t>**Don't budget for projected merit increases unless you have to meet a specific match requirement</t>
  </si>
  <si>
    <t>No Projected Increases</t>
  </si>
  <si>
    <t>**Don't budget for projected fringe benefit increases unless you have to meet a specific match requirement</t>
  </si>
  <si>
    <t>MTDC</t>
  </si>
  <si>
    <t>Total ANR Cost Share</t>
  </si>
  <si>
    <t>Third Party Cost Share</t>
  </si>
  <si>
    <t>Entity Name and Description</t>
  </si>
  <si>
    <t>Total Third Party Cost Share</t>
  </si>
  <si>
    <t>Total Project Cost Share</t>
  </si>
  <si>
    <t>25% Match / 1:4</t>
  </si>
  <si>
    <t>Amount Under/Over Cost Share Ratio:</t>
  </si>
  <si>
    <t>Project Information</t>
  </si>
  <si>
    <t>Budget Period</t>
  </si>
  <si>
    <t>Period 1</t>
  </si>
  <si>
    <t>Period 6</t>
  </si>
  <si>
    <t>Initial Fiscal Year:</t>
  </si>
  <si>
    <t>Months in Project Year:</t>
  </si>
  <si>
    <t>Months to fiscal Year end:</t>
  </si>
  <si>
    <t>Remaining Months in PY:</t>
  </si>
  <si>
    <t>17/18</t>
  </si>
  <si>
    <t>18/19</t>
  </si>
  <si>
    <t>19/20</t>
  </si>
  <si>
    <t>20/21</t>
  </si>
  <si>
    <t>21/22</t>
  </si>
  <si>
    <t>22/23</t>
  </si>
  <si>
    <t>23/24</t>
  </si>
  <si>
    <t>24/25</t>
  </si>
  <si>
    <t>25/26</t>
  </si>
  <si>
    <t>26/27</t>
  </si>
  <si>
    <t>27/28</t>
  </si>
  <si>
    <t>28/29</t>
  </si>
  <si>
    <t>29/30</t>
  </si>
  <si>
    <t>30/31</t>
  </si>
  <si>
    <t>31/32</t>
  </si>
  <si>
    <t>32/33</t>
  </si>
  <si>
    <t>Number of Months</t>
  </si>
  <si>
    <t>Yes / No Drop down</t>
  </si>
  <si>
    <t>Subaward Entity Drop Down</t>
  </si>
  <si>
    <t>Budget Year</t>
  </si>
  <si>
    <t>No</t>
  </si>
  <si>
    <t>Salary Calculations</t>
  </si>
  <si>
    <t>Salary Rates Based on FY</t>
  </si>
  <si>
    <t>Average Annual Rate per Budget Period</t>
  </si>
  <si>
    <t>Calculator to determine Fiscal Year if Short Budget Periods</t>
  </si>
  <si>
    <t>Employee Number on Budget</t>
  </si>
  <si>
    <t>Merit Adjustment</t>
  </si>
  <si>
    <t>YR1</t>
  </si>
  <si>
    <t>YR2</t>
  </si>
  <si>
    <t>YR3</t>
  </si>
  <si>
    <t>YR4</t>
  </si>
  <si>
    <t>YR5</t>
  </si>
  <si>
    <t>YR6</t>
  </si>
  <si>
    <t>Yr1</t>
  </si>
  <si>
    <t>UC Fiscal Years</t>
  </si>
  <si>
    <t>Fringe Benefit Rates</t>
  </si>
  <si>
    <t>Project Year Rate Based on FY</t>
  </si>
  <si>
    <t>Averages</t>
  </si>
  <si>
    <t>GAEL Rates Based on FY</t>
  </si>
  <si>
    <t>14/15</t>
  </si>
  <si>
    <t>15/16</t>
  </si>
  <si>
    <t>16/17</t>
  </si>
  <si>
    <t>Research - On Campus</t>
  </si>
  <si>
    <t>Other Sponsored Activity - On Campus</t>
  </si>
  <si>
    <t>MTDC State of CA - On Campus</t>
  </si>
  <si>
    <t>MTDC CDFA - Off Campus</t>
  </si>
  <si>
    <t>No Indirects Allowed</t>
  </si>
  <si>
    <t>Salary and Fringe (CDFA-SCB)</t>
  </si>
  <si>
    <t>MTDC State of CA - Off Campus</t>
  </si>
  <si>
    <t>BASE</t>
  </si>
  <si>
    <t>Unallowable as Cost Share</t>
  </si>
  <si>
    <t>TDC</t>
  </si>
  <si>
    <t>Salary and Fringe (CDFA)</t>
  </si>
  <si>
    <t>Calculations</t>
  </si>
  <si>
    <t>Research</t>
  </si>
  <si>
    <t>Other Sponsored Activity</t>
  </si>
  <si>
    <t>Research-ON</t>
  </si>
  <si>
    <t>Other Sponsored Activity-ON</t>
  </si>
  <si>
    <t>Sponsor Rate Policy MTDC Base</t>
  </si>
  <si>
    <t>converted rate to TDC</t>
  </si>
  <si>
    <t>Other Sponsor Base</t>
  </si>
  <si>
    <t>Project Type</t>
  </si>
  <si>
    <t>Unrecovered Indirects on Direct Charges</t>
  </si>
  <si>
    <t>Dif Sponsor MTDC Rate - Research</t>
  </si>
  <si>
    <t>Dif Sponsor MTDC Rate - Other</t>
  </si>
  <si>
    <t>Dif Sponsor TDC Rate - Research</t>
  </si>
  <si>
    <t>Dif Sponsor TDC Rate - Other</t>
  </si>
  <si>
    <t>Dif Sponsor TC Rate - Research</t>
  </si>
  <si>
    <t>Dif Sponsor TC Rate - Other</t>
  </si>
  <si>
    <t>Dif Sal/Fringe- Research</t>
  </si>
  <si>
    <t>Dif Sal/Fringe - Other</t>
  </si>
  <si>
    <t>Dif Other - Research</t>
  </si>
  <si>
    <t>Dif Other - Other</t>
  </si>
  <si>
    <t>Dif State 25 - Research</t>
  </si>
  <si>
    <t>Dif State 25 - Other On</t>
  </si>
  <si>
    <t>DIF CDFA - Research</t>
  </si>
  <si>
    <t>DIF CDFA - Other</t>
  </si>
  <si>
    <t>Cost Share Salary Calculations</t>
  </si>
  <si>
    <t>Cost Share Ratios</t>
  </si>
  <si>
    <t>No Set Percentage Required</t>
  </si>
  <si>
    <t>50% Match / 1:2</t>
  </si>
  <si>
    <t>75% Match</t>
  </si>
  <si>
    <t>100% Match / 1:1</t>
  </si>
  <si>
    <t>200% Match / 2:1</t>
  </si>
  <si>
    <t>Program Income</t>
  </si>
  <si>
    <t>Travel</t>
  </si>
  <si>
    <t>International?</t>
  </si>
  <si>
    <t>Subaward Type</t>
  </si>
  <si>
    <t>Allowable</t>
  </si>
  <si>
    <t>Select</t>
  </si>
  <si>
    <t>Chart L  - Excel Doc</t>
  </si>
  <si>
    <t>* If you need to find a job code go here and click on tabs at bottom: Chart L  - Excel Doc</t>
  </si>
  <si>
    <t>ANR Units</t>
  </si>
  <si>
    <t>Cost Share Budget</t>
  </si>
  <si>
    <r>
      <t>Select Required Ratio</t>
    </r>
    <r>
      <rPr>
        <b/>
        <sz val="10"/>
        <color theme="1"/>
        <rFont val="Calibri"/>
        <family val="2"/>
        <scheme val="minor"/>
      </rPr>
      <t>:</t>
    </r>
  </si>
  <si>
    <t>Cost Share Summary</t>
  </si>
  <si>
    <t>Mandatory Cost Share</t>
  </si>
  <si>
    <t>Voluntary Cost Share</t>
  </si>
  <si>
    <t>No Required Cost Share</t>
  </si>
  <si>
    <t>Principal Investigator (Last, First):</t>
  </si>
  <si>
    <t>Exhibit B</t>
  </si>
  <si>
    <t xml:space="preserve">Enter costs on the 'Budget' Worksheet. This form will automatically populate. </t>
  </si>
  <si>
    <t>COMPOSITE BUDGET:  ESTIMATE FOR ENTIRE PROPOSED PROJECT PERIOD</t>
  </si>
  <si>
    <t>to</t>
    <phoneticPr fontId="1" type="noConversion"/>
  </si>
  <si>
    <t>From:</t>
    <phoneticPr fontId="1" type="noConversion"/>
  </si>
  <si>
    <t>To:</t>
    <phoneticPr fontId="1" type="noConversion"/>
  </si>
  <si>
    <t>BUDGET CATEGORY</t>
    <phoneticPr fontId="1" type="noConversion"/>
  </si>
  <si>
    <t>Year 1</t>
    <phoneticPr fontId="1" type="noConversion"/>
  </si>
  <si>
    <t>TOTAL</t>
  </si>
  <si>
    <t>TRAVEL</t>
  </si>
  <si>
    <t>MATERIALS &amp; SUPPLIES</t>
  </si>
  <si>
    <t>EQUIPMENT</t>
  </si>
  <si>
    <t>CONSULTANT</t>
  </si>
  <si>
    <t>SUBRECIPIENT</t>
  </si>
  <si>
    <t xml:space="preserve">Subrecipients will need to use this same budget format. See the Blank Budget Form worksheet which they can use to enter their costs. </t>
  </si>
  <si>
    <t>OTHER DIRECT COSTS (ODC)</t>
    <phoneticPr fontId="1" type="noConversion"/>
  </si>
  <si>
    <t>OTHER DIRECT COSTS (ODC) Not Subject to Indirect Costs</t>
  </si>
  <si>
    <t>TOTAL DIRECT COSTS</t>
  </si>
  <si>
    <t>Indirect (F&amp;A) Costs</t>
    <phoneticPr fontId="1" type="noConversion"/>
  </si>
  <si>
    <t>     </t>
  </si>
  <si>
    <t>F&amp;A Base</t>
    <phoneticPr fontId="1" type="noConversion"/>
  </si>
  <si>
    <t>TOTAL ESTIMATED COSTS PER YEAR</t>
    <phoneticPr fontId="1" type="noConversion"/>
  </si>
  <si>
    <t>TOTAL ESTIMATED COSTS FOR PROPOSED PROJECT PERIOD</t>
    <phoneticPr fontId="1" type="noConversion"/>
  </si>
  <si>
    <t>Funds Reversion Dates</t>
    <phoneticPr fontId="1" type="noConversion"/>
  </si>
  <si>
    <t>Project Period Budget Flexibility (lesser of % or Amount)</t>
  </si>
  <si>
    <t>Prior approval required for budget changes between approved cost categories above the thresholds identified.</t>
  </si>
  <si>
    <t>%</t>
    <phoneticPr fontId="1" type="noConversion"/>
  </si>
  <si>
    <t>or</t>
    <phoneticPr fontId="1" type="noConversion"/>
  </si>
  <si>
    <t>Amount</t>
    <phoneticPr fontId="1" type="noConversion"/>
  </si>
  <si>
    <t>Items exempt from F&amp;A calculation</t>
  </si>
  <si>
    <t>All subs over $25K</t>
  </si>
  <si>
    <t>Equipment &gt; $5K</t>
    <phoneticPr fontId="1" type="noConversion"/>
  </si>
  <si>
    <t>Total Exempt from F&amp;A</t>
  </si>
  <si>
    <t>Will there be program income earned on this Project?</t>
  </si>
  <si>
    <t>Page 2</t>
  </si>
  <si>
    <t>Program Income definition: Gross income earned by the University that is directly generated by a supported activity and earned only as a result of the State funded project.</t>
  </si>
  <si>
    <t>TOTAL ESTIMATED PROJECT COSTS PER YEAR</t>
  </si>
  <si>
    <t>ANTICIPATED PROGRAM INCOME</t>
  </si>
  <si>
    <t xml:space="preserve">Anticipated Program Income is an estimate of income that may be generated to support the total project costs, and this fact is known by the University at time of proposal.  Anticipated Program Income does not represent a cost-share commitment by the University or external funders to support the project.  </t>
  </si>
  <si>
    <t xml:space="preserve">Page 2 of Exhibit B will only be incorporated in the Agreement when Program Income is anticipated and proposed.  </t>
  </si>
  <si>
    <t>Program Income is subject to Section 14.F of Exhibit C of this Agreement.</t>
  </si>
  <si>
    <t>If known, provide source(s) of program income:</t>
  </si>
  <si>
    <t>Source</t>
  </si>
  <si>
    <t>Estimated Amount</t>
  </si>
  <si>
    <t>Principal Investigator:</t>
  </si>
  <si>
    <t>Consultants</t>
  </si>
  <si>
    <t>Total Consultants</t>
  </si>
  <si>
    <r>
      <t xml:space="preserve">PERSONNEL:  </t>
    </r>
    <r>
      <rPr>
        <i/>
        <sz val="10"/>
        <rFont val="Calibri"/>
        <family val="2"/>
        <scheme val="minor"/>
      </rPr>
      <t>Salary and fringe benefits.</t>
    </r>
  </si>
  <si>
    <r>
      <t>JUSTIFICATION.</t>
    </r>
    <r>
      <rPr>
        <sz val="10"/>
        <rFont val="Calibri"/>
        <family val="2"/>
        <scheme val="minor"/>
      </rPr>
      <t xml:space="preserve">  See Exhibit B1 - Follow the budget justification instructions.</t>
    </r>
  </si>
  <si>
    <r>
      <t xml:space="preserve">Program Income
</t>
    </r>
    <r>
      <rPr>
        <b/>
        <sz val="10"/>
        <color rgb="FFC00000"/>
        <rFont val="Calibri"/>
        <family val="2"/>
        <scheme val="minor"/>
      </rPr>
      <t>(applicable only when the funded portion of the project generates income)</t>
    </r>
  </si>
  <si>
    <t>TOTAL CONTRACT AMOUNT 
(Est Proj Costs less Anticipated Prog Inc)</t>
  </si>
  <si>
    <r>
      <t xml:space="preserve">***If Program Income will be generated on this project, </t>
    </r>
    <r>
      <rPr>
        <b/>
        <u/>
        <sz val="10"/>
        <color theme="1"/>
        <rFont val="Calibri"/>
        <family val="2"/>
        <scheme val="minor"/>
      </rPr>
      <t xml:space="preserve">select 'Yes' </t>
    </r>
    <r>
      <rPr>
        <sz val="10"/>
        <color theme="1"/>
        <rFont val="Calibri"/>
        <family val="2"/>
        <scheme val="minor"/>
      </rPr>
      <t>and fill out the yellow highlighted fields.</t>
    </r>
  </si>
  <si>
    <t>Click Here: Required Proposal and Budget Justification Template to be completed</t>
  </si>
  <si>
    <t>Participant Support Costs</t>
  </si>
  <si>
    <t>Year 2</t>
  </si>
  <si>
    <t>Year 3</t>
  </si>
  <si>
    <t>Year 4</t>
  </si>
  <si>
    <t>Year 5</t>
  </si>
  <si>
    <t>All subs over $25K and all Subs to UC Campuses</t>
  </si>
  <si>
    <t>Off Campus Rent</t>
  </si>
  <si>
    <t xml:space="preserve">To Edit locked cells go to "Review" and select "Unprotect Sheet". No password required. </t>
  </si>
  <si>
    <r>
      <t xml:space="preserve">Other Costs </t>
    </r>
    <r>
      <rPr>
        <b/>
        <i/>
        <sz val="11"/>
        <color theme="1"/>
        <rFont val="Calibri"/>
        <family val="2"/>
        <scheme val="minor"/>
      </rPr>
      <t xml:space="preserve">Exempt from Indirect Costs </t>
    </r>
  </si>
  <si>
    <t>Total Other Costs - No Indirects</t>
  </si>
  <si>
    <r>
      <t>Unrecovered Indirect Cost</t>
    </r>
    <r>
      <rPr>
        <b/>
        <u/>
        <sz val="11"/>
        <color theme="1"/>
        <rFont val="Calibri"/>
        <family val="2"/>
        <scheme val="minor"/>
      </rPr>
      <t xml:space="preserve"> on Cost Share Portion</t>
    </r>
  </si>
  <si>
    <r>
      <t xml:space="preserve">Unrecovered Indirect Costs </t>
    </r>
    <r>
      <rPr>
        <b/>
        <u/>
        <sz val="11"/>
        <color theme="1"/>
        <rFont val="Calibri"/>
        <family val="2"/>
        <scheme val="minor"/>
      </rPr>
      <t>on Direct Charges</t>
    </r>
  </si>
  <si>
    <t>ANR Unrecovered Indirects on Cost Share Portion</t>
  </si>
  <si>
    <t>ANR Direct Costs on Cost Share Budget</t>
  </si>
  <si>
    <t>Name</t>
  </si>
  <si>
    <t>Person Months</t>
  </si>
  <si>
    <t>*Effort/Person Months Conversion Calculator. See also tab "Personnel Info for Forms</t>
  </si>
  <si>
    <t>Annual Base Salary</t>
  </si>
  <si>
    <t xml:space="preserve">Annual Base Salary and Person Months calculations for agency forms. </t>
  </si>
  <si>
    <t>Academic and Management</t>
  </si>
  <si>
    <t>GAEL</t>
  </si>
  <si>
    <t>Federal / Federal Flow-Thru?</t>
  </si>
  <si>
    <t>Registration Fees</t>
  </si>
  <si>
    <t>Other (per trip)</t>
  </si>
  <si>
    <t xml:space="preserve">Project Title: </t>
  </si>
  <si>
    <t>CA State (not Flow-Thru)?</t>
  </si>
  <si>
    <t>Staff Exempt</t>
  </si>
  <si>
    <t>Staff Non-Exempt</t>
  </si>
  <si>
    <t>Participant Support Costs (Not-Employees)</t>
  </si>
  <si>
    <t>TDC minus Subaward</t>
  </si>
  <si>
    <t>Total Direct Excluding Subawards</t>
  </si>
  <si>
    <t>DIF TDC-Sub - Research</t>
  </si>
  <si>
    <t>DIF TDC-Sub - Other</t>
  </si>
  <si>
    <t>Sponsor</t>
  </si>
  <si>
    <t>Personnel Type?</t>
  </si>
  <si>
    <t>Senior/Key</t>
  </si>
  <si>
    <t>Postdoc</t>
  </si>
  <si>
    <t>GSR</t>
  </si>
  <si>
    <t>Undergrad</t>
  </si>
  <si>
    <t>Clerical</t>
  </si>
  <si>
    <t xml:space="preserve">Salary Plus Fringe </t>
  </si>
  <si>
    <t>salary</t>
  </si>
  <si>
    <t>fringe</t>
  </si>
  <si>
    <t>Other 1</t>
  </si>
  <si>
    <t>Other 2</t>
  </si>
  <si>
    <t>Other 3</t>
  </si>
  <si>
    <t>Other 4</t>
  </si>
  <si>
    <t>Personnel Type? (for grouping on R&amp;R form)</t>
  </si>
  <si>
    <t>R&amp;R Form - Other Personnel Composite Categories</t>
  </si>
  <si>
    <t>R&amp;R Form - Senior/Key Personnel Totals</t>
  </si>
  <si>
    <t>Senior/Key Personnel</t>
  </si>
  <si>
    <t>Fringe</t>
  </si>
  <si>
    <t>Combined</t>
  </si>
  <si>
    <t># Miles Round Trip</t>
  </si>
  <si>
    <t>33/34</t>
  </si>
  <si>
    <t>34/35</t>
  </si>
  <si>
    <t>35/36</t>
  </si>
  <si>
    <t>36/37</t>
  </si>
  <si>
    <t>5 Year Cummulative totals by Personnel Category</t>
  </si>
  <si>
    <t>Total Other Personnel</t>
  </si>
  <si>
    <t>Total Other AND Senior Personnel</t>
  </si>
  <si>
    <t>UCD M&amp;I went up to $92/day effective Oct 2024</t>
  </si>
  <si>
    <t>https://ucanr.edu/site/office-contracts-and-grants/budget-preparation</t>
  </si>
  <si>
    <r>
      <rPr>
        <b/>
        <u/>
        <sz val="10"/>
        <color rgb="FFFF0000"/>
        <rFont val="Calibri"/>
        <family val="2"/>
        <scheme val="minor"/>
      </rPr>
      <t xml:space="preserve">NEW LINK: </t>
    </r>
    <r>
      <rPr>
        <b/>
        <u/>
        <sz val="10"/>
        <color rgb="FF0000FF"/>
        <rFont val="Calibri"/>
        <family val="2"/>
        <scheme val="minor"/>
      </rPr>
      <t xml:space="preserve">ALWAYS CHECK THIS LINK FOR THE LATEST TEMPLATE: </t>
    </r>
  </si>
  <si>
    <t>Tuition Remission (unallowable)</t>
  </si>
  <si>
    <t>120k combined</t>
  </si>
  <si>
    <t>Mileage rate went up to 72.5 cents/mile effective 1/1/26</t>
  </si>
  <si>
    <t>Template Version: 1/22/2026 (updated FY27fringe benefit rates; IRS Mileage reimbursement rate)</t>
  </si>
  <si>
    <t xml:space="preserve">Federal Funds Only - Participant support costs means direct costs for items such as stipends or subsistence allowances, travel allowances, and registration fees paid to or on behalf of participants or trainees (but not employees) in connection with conferences, or training projects. Please contact OCG with questions.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</si>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</sst>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0.000"/>
    <numFmt numFmtId="166" formatCode="_(&quot;$&quot;* #,##0_);_(&quot;$&quot;* \(#,##0\);_(&quot;$&quot;* &quot;-&quot;??_);_(@_)"/>
    <numFmt numFmtId="167" formatCode="_(* #,##0.000_);_(* \(#,##0.000\);_(* &quot;-&quot;??_);_(@_)"/>
    <numFmt numFmtId="168" formatCode="_(* #,##0.0000_);_(* \(#,##0.0000\);_(* &quot;-&quot;??_);_(@_)"/>
    <numFmt numFmtId="169" formatCode="0.0000"/>
    <numFmt numFmtId="170" formatCode="mm/dd/yyyy"/>
    <numFmt numFmtId="171" formatCode="&quot;$&quot;#,##0"/>
    <numFmt numFmtId="172" formatCode="&quot;$&quot;#,##0.00"/>
    <numFmt numFmtId="173" formatCode="_(&quot;$&quot;* #,##0.0_);_(&quot;$&quot;* \(#,##0.0\);_(&quot;$&quot;* &quot;-&quot;?_);_(@_)"/>
  </numFmts>
  <fonts count="71" x14ac:knownFonts="1">
    <font>
      <sz val="11"/>
      <color theme="1"/>
      <name val="Calibri"/>
      <family val="2"/>
      <scheme val="minor"/>
    </font>
    <font>
      <sz val="11"/>
      <color theme="1"/>
      <name val="Calibri"/>
      <family val="2"/>
      <scheme val="minor"/>
    </font>
    <font>
      <b/>
      <sz val="9"/>
      <color indexed="81"/>
      <name val="Tahoma"/>
      <family val="2"/>
    </font>
    <font>
      <b/>
      <u/>
      <sz val="10"/>
      <color theme="1"/>
      <name val="Calibri"/>
      <family val="2"/>
      <scheme val="minor"/>
    </font>
    <font>
      <sz val="10"/>
      <color theme="1"/>
      <name val="Calibri"/>
      <family val="2"/>
      <scheme val="minor"/>
    </font>
    <font>
      <b/>
      <sz val="10"/>
      <color theme="1"/>
      <name val="Calibri"/>
      <family val="2"/>
      <scheme val="minor"/>
    </font>
    <font>
      <b/>
      <sz val="10"/>
      <color rgb="FF0000FF"/>
      <name val="Calibri"/>
      <family val="2"/>
      <scheme val="minor"/>
    </font>
    <font>
      <sz val="10"/>
      <color rgb="FF0000FF"/>
      <name val="Calibri"/>
      <family val="2"/>
      <scheme val="minor"/>
    </font>
    <font>
      <sz val="10"/>
      <color rgb="FFFF0000"/>
      <name val="Calibri"/>
      <family val="2"/>
      <scheme val="minor"/>
    </font>
    <font>
      <sz val="10"/>
      <color theme="0" tint="-0.499984740745262"/>
      <name val="Calibri"/>
      <family val="2"/>
      <scheme val="minor"/>
    </font>
    <font>
      <u/>
      <sz val="11"/>
      <color theme="10"/>
      <name val="Calibri"/>
      <family val="2"/>
      <scheme val="minor"/>
    </font>
    <font>
      <b/>
      <sz val="10"/>
      <name val="Calibri"/>
      <family val="2"/>
      <scheme val="minor"/>
    </font>
    <font>
      <sz val="10"/>
      <name val="Calibri"/>
      <family val="2"/>
      <scheme val="minor"/>
    </font>
    <font>
      <b/>
      <u/>
      <sz val="10"/>
      <color theme="10"/>
      <name val="Calibri"/>
      <family val="2"/>
      <scheme val="minor"/>
    </font>
    <font>
      <sz val="10"/>
      <name val="Arial"/>
      <family val="2"/>
    </font>
    <font>
      <sz val="10"/>
      <color theme="0"/>
      <name val="Calibri"/>
      <family val="2"/>
      <scheme val="minor"/>
    </font>
    <font>
      <i/>
      <sz val="10"/>
      <name val="Calibri"/>
      <family val="2"/>
      <scheme val="minor"/>
    </font>
    <font>
      <sz val="10"/>
      <color theme="0" tint="-0.249977111117893"/>
      <name val="Calibri"/>
      <family val="2"/>
      <scheme val="minor"/>
    </font>
    <font>
      <b/>
      <i/>
      <sz val="10"/>
      <color theme="1" tint="0.34998626667073579"/>
      <name val="Calibri"/>
      <family val="2"/>
      <scheme val="minor"/>
    </font>
    <font>
      <i/>
      <sz val="10"/>
      <color theme="1" tint="0.34998626667073579"/>
      <name val="Calibri"/>
      <family val="2"/>
      <scheme val="minor"/>
    </font>
    <font>
      <sz val="9"/>
      <name val="Arial"/>
      <family val="2"/>
    </font>
    <font>
      <sz val="9"/>
      <color rgb="FF000000"/>
      <name val="Calibri"/>
      <family val="2"/>
      <scheme val="minor"/>
    </font>
    <font>
      <b/>
      <u/>
      <sz val="10"/>
      <color rgb="FF0563C1"/>
      <name val="Calibri"/>
      <family val="2"/>
      <scheme val="minor"/>
    </font>
    <font>
      <sz val="10"/>
      <color rgb="FF000000"/>
      <name val="Calibri"/>
      <family val="2"/>
      <scheme val="minor"/>
    </font>
    <font>
      <b/>
      <sz val="10"/>
      <color rgb="FF000000"/>
      <name val="Calibri"/>
      <family val="2"/>
      <scheme val="minor"/>
    </font>
    <font>
      <b/>
      <u/>
      <sz val="9"/>
      <color theme="10"/>
      <name val="Calibri"/>
      <family val="2"/>
      <scheme val="minor"/>
    </font>
    <font>
      <sz val="9"/>
      <color theme="1"/>
      <name val="Arial"/>
      <family val="2"/>
    </font>
    <font>
      <sz val="9"/>
      <color theme="0" tint="-0.249977111117893"/>
      <name val="Arial"/>
      <family val="2"/>
    </font>
    <font>
      <b/>
      <sz val="9"/>
      <color indexed="8"/>
      <name val="Calibri"/>
      <family val="2"/>
      <scheme val="minor"/>
    </font>
    <font>
      <b/>
      <sz val="9"/>
      <color rgb="FFFF0000"/>
      <name val="Calibri"/>
      <family val="2"/>
      <scheme val="minor"/>
    </font>
    <font>
      <sz val="8"/>
      <name val="Calibri"/>
      <family val="2"/>
      <scheme val="minor"/>
    </font>
    <font>
      <sz val="9"/>
      <name val="Calibri"/>
      <family val="2"/>
      <scheme val="minor"/>
    </font>
    <font>
      <sz val="10"/>
      <color rgb="FF00B050"/>
      <name val="Calibri"/>
      <family val="2"/>
      <scheme val="minor"/>
    </font>
    <font>
      <b/>
      <u/>
      <sz val="10"/>
      <name val="Calibri"/>
      <family val="2"/>
      <scheme val="minor"/>
    </font>
    <font>
      <b/>
      <i/>
      <sz val="10"/>
      <color rgb="FF0000FF"/>
      <name val="Calibri"/>
      <family val="2"/>
      <scheme val="minor"/>
    </font>
    <font>
      <b/>
      <sz val="9"/>
      <color theme="1"/>
      <name val="Arial"/>
      <family val="2"/>
    </font>
    <font>
      <b/>
      <sz val="9"/>
      <color theme="0" tint="-0.249977111117893"/>
      <name val="Arial"/>
      <family val="2"/>
    </font>
    <font>
      <b/>
      <i/>
      <sz val="10"/>
      <color theme="1"/>
      <name val="Calibri"/>
      <family val="2"/>
      <scheme val="minor"/>
    </font>
    <font>
      <b/>
      <u/>
      <sz val="8"/>
      <color rgb="FF2062C4"/>
      <name val="Arial"/>
      <family val="2"/>
    </font>
    <font>
      <sz val="8"/>
      <color theme="1"/>
      <name val="Arial"/>
      <family val="2"/>
    </font>
    <font>
      <b/>
      <sz val="9"/>
      <color rgb="FFFF0000"/>
      <name val="Arial"/>
      <family val="2"/>
    </font>
    <font>
      <b/>
      <sz val="8"/>
      <color theme="1"/>
      <name val="Arial"/>
      <family val="2"/>
    </font>
    <font>
      <b/>
      <sz val="10"/>
      <color rgb="FFFF0000"/>
      <name val="Calibri"/>
      <family val="2"/>
      <scheme val="minor"/>
    </font>
    <font>
      <b/>
      <sz val="11"/>
      <color theme="1"/>
      <name val="Calibri"/>
      <family val="2"/>
      <scheme val="minor"/>
    </font>
    <font>
      <b/>
      <sz val="10"/>
      <color theme="10"/>
      <name val="Calibri"/>
      <family val="2"/>
      <scheme val="minor"/>
    </font>
    <font>
      <b/>
      <u/>
      <sz val="11"/>
      <color theme="1"/>
      <name val="Calibri"/>
      <family val="2"/>
      <scheme val="minor"/>
    </font>
    <font>
      <sz val="9"/>
      <color indexed="81"/>
      <name val="Tahoma"/>
      <family val="2"/>
    </font>
    <font>
      <b/>
      <u/>
      <sz val="10"/>
      <color rgb="FF0000FF"/>
      <name val="Calibri"/>
      <family val="2"/>
      <scheme val="minor"/>
    </font>
    <font>
      <b/>
      <i/>
      <sz val="10"/>
      <name val="Calibri"/>
      <family val="2"/>
      <scheme val="minor"/>
    </font>
    <font>
      <b/>
      <sz val="10"/>
      <color indexed="16"/>
      <name val="Calibri"/>
      <family val="2"/>
      <scheme val="minor"/>
    </font>
    <font>
      <b/>
      <i/>
      <sz val="10"/>
      <color indexed="23"/>
      <name val="Calibri"/>
      <family val="2"/>
      <scheme val="minor"/>
    </font>
    <font>
      <b/>
      <i/>
      <u/>
      <sz val="10"/>
      <name val="Calibri"/>
      <family val="2"/>
      <scheme val="minor"/>
    </font>
    <font>
      <u/>
      <sz val="10"/>
      <color rgb="FFC00000"/>
      <name val="Calibri"/>
      <family val="2"/>
      <scheme val="minor"/>
    </font>
    <font>
      <sz val="10"/>
      <color rgb="FFC00000"/>
      <name val="Calibri"/>
      <family val="2"/>
      <scheme val="minor"/>
    </font>
    <font>
      <i/>
      <sz val="10"/>
      <color indexed="23"/>
      <name val="Calibri"/>
      <family val="2"/>
      <scheme val="minor"/>
    </font>
    <font>
      <b/>
      <i/>
      <sz val="10"/>
      <color indexed="61"/>
      <name val="Calibri"/>
      <family val="2"/>
      <scheme val="minor"/>
    </font>
    <font>
      <i/>
      <sz val="10"/>
      <color indexed="61"/>
      <name val="Calibri"/>
      <family val="2"/>
      <scheme val="minor"/>
    </font>
    <font>
      <b/>
      <sz val="10"/>
      <color rgb="FFC00000"/>
      <name val="Calibri"/>
      <family val="2"/>
      <scheme val="minor"/>
    </font>
    <font>
      <b/>
      <sz val="11"/>
      <color indexed="16"/>
      <name val="Calibri"/>
      <family val="2"/>
      <scheme val="minor"/>
    </font>
    <font>
      <b/>
      <u/>
      <sz val="10"/>
      <color rgb="FFC00000"/>
      <name val="Calibri"/>
      <family val="2"/>
      <scheme val="minor"/>
    </font>
    <font>
      <b/>
      <i/>
      <sz val="11"/>
      <color theme="1"/>
      <name val="Calibri"/>
      <family val="2"/>
      <scheme val="minor"/>
    </font>
    <font>
      <b/>
      <sz val="8"/>
      <color theme="1"/>
      <name val="Calibri"/>
      <family val="2"/>
      <scheme val="minor"/>
    </font>
    <font>
      <i/>
      <sz val="10"/>
      <color rgb="FFFF0000"/>
      <name val="Calibri"/>
      <family val="2"/>
      <scheme val="minor"/>
    </font>
    <font>
      <sz val="8"/>
      <color indexed="81"/>
      <name val="Tahoma"/>
      <family val="2"/>
    </font>
    <font>
      <b/>
      <i/>
      <u/>
      <sz val="10"/>
      <color rgb="FFFF0000"/>
      <name val="Calibri"/>
      <family val="2"/>
      <scheme val="minor"/>
    </font>
    <font>
      <b/>
      <i/>
      <sz val="9"/>
      <color indexed="23"/>
      <name val="Calibri"/>
      <family val="2"/>
      <scheme val="minor"/>
    </font>
    <font>
      <sz val="8"/>
      <color rgb="FF000000"/>
      <name val="Calibri"/>
      <family val="2"/>
      <scheme val="minor"/>
    </font>
    <font>
      <sz val="9"/>
      <color theme="1"/>
      <name val="Calibri"/>
      <family val="2"/>
      <scheme val="minor"/>
    </font>
    <font>
      <b/>
      <u/>
      <sz val="10"/>
      <color rgb="FFFF0000"/>
      <name val="Calibri"/>
      <family val="2"/>
      <scheme val="minor"/>
    </font>
    <font>
      <u/>
      <sz val="10"/>
      <color theme="10"/>
      <name val="Calibri"/>
      <family val="2"/>
      <scheme val="minor"/>
    </font>
    <font>
      <i/>
      <sz val="9"/>
      <color theme="1"/>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DDEBF7"/>
        <bgColor rgb="FF000000"/>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bgColor rgb="FF000000"/>
      </patternFill>
    </fill>
    <fill>
      <patternFill patternType="solid">
        <fgColor rgb="FFEAF4E4"/>
        <bgColor indexed="64"/>
      </patternFill>
    </fill>
    <fill>
      <patternFill patternType="solid">
        <fgColor theme="7" tint="0.59999389629810485"/>
        <bgColor indexed="64"/>
      </patternFill>
    </fill>
    <fill>
      <patternFill patternType="solid">
        <fgColor rgb="FFFFFFE1"/>
        <bgColor indexed="64"/>
      </patternFill>
    </fill>
    <fill>
      <patternFill patternType="solid">
        <fgColor rgb="FFFFE699"/>
        <bgColor indexed="64"/>
      </patternFill>
    </fill>
    <fill>
      <patternFill patternType="solid">
        <fgColor rgb="FFFFF8E5"/>
        <bgColor indexed="64"/>
      </patternFill>
    </fill>
    <fill>
      <patternFill patternType="solid">
        <fgColor rgb="FFFFFFCC"/>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799981688894314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43" fontId="14" fillId="0" borderId="0" applyFont="0" applyFill="0" applyBorder="0" applyAlignment="0" applyProtection="0"/>
    <xf numFmtId="0" fontId="14" fillId="0" borderId="0"/>
  </cellStyleXfs>
  <cellXfs count="881">
    <xf numFmtId="0" fontId="0" fillId="0" borderId="0" xfId="0"/>
    <xf numFmtId="43" fontId="5" fillId="0" borderId="1" xfId="1" applyFont="1" applyBorder="1" applyAlignment="1" applyProtection="1">
      <alignment horizontal="center"/>
      <protection locked="0"/>
    </xf>
    <xf numFmtId="0" fontId="5" fillId="2" borderId="0" xfId="0" applyFont="1" applyFill="1"/>
    <xf numFmtId="0" fontId="5" fillId="2" borderId="1" xfId="0" applyFont="1" applyFill="1" applyBorder="1"/>
    <xf numFmtId="0" fontId="4" fillId="2" borderId="1" xfId="0" applyFont="1" applyFill="1" applyBorder="1"/>
    <xf numFmtId="0" fontId="4" fillId="0" borderId="0" xfId="0" applyFont="1"/>
    <xf numFmtId="0" fontId="4" fillId="4" borderId="0" xfId="0" applyFont="1" applyFill="1"/>
    <xf numFmtId="43" fontId="4" fillId="4" borderId="0" xfId="1" applyFont="1" applyFill="1" applyBorder="1" applyAlignment="1" applyProtection="1">
      <alignment horizontal="center" vertical="center"/>
      <protection locked="0"/>
    </xf>
    <xf numFmtId="0" fontId="4" fillId="2" borderId="1" xfId="0" applyFont="1" applyFill="1" applyBorder="1" applyAlignment="1" applyProtection="1">
      <alignment horizontal="center" wrapText="1"/>
      <protection locked="0"/>
    </xf>
    <xf numFmtId="0" fontId="8" fillId="2" borderId="1" xfId="0" applyFont="1" applyFill="1" applyBorder="1" applyAlignment="1" applyProtection="1">
      <alignment horizontal="center" wrapText="1"/>
      <protection locked="0"/>
    </xf>
    <xf numFmtId="0" fontId="4" fillId="2" borderId="1" xfId="0" applyFont="1" applyFill="1" applyBorder="1" applyProtection="1">
      <protection locked="0"/>
    </xf>
    <xf numFmtId="43" fontId="4" fillId="2" borderId="1" xfId="1" applyFont="1" applyFill="1" applyBorder="1" applyAlignment="1" applyProtection="1">
      <alignment horizontal="center" vertical="center"/>
      <protection locked="0"/>
    </xf>
    <xf numFmtId="9" fontId="4" fillId="3" borderId="13" xfId="3" applyFont="1" applyFill="1" applyBorder="1" applyAlignment="1" applyProtection="1">
      <alignment horizontal="center"/>
      <protection locked="0"/>
    </xf>
    <xf numFmtId="0" fontId="4" fillId="0" borderId="0" xfId="0" applyFont="1" applyAlignment="1" applyProtection="1">
      <alignment vertical="top" wrapText="1"/>
      <protection locked="0"/>
    </xf>
    <xf numFmtId="9" fontId="4" fillId="0" borderId="0" xfId="3" applyFont="1" applyFill="1" applyBorder="1" applyAlignment="1" applyProtection="1">
      <alignment wrapText="1"/>
      <protection locked="0"/>
    </xf>
    <xf numFmtId="9" fontId="7" fillId="0" borderId="0" xfId="3" applyFont="1" applyFill="1" applyBorder="1" applyAlignment="1" applyProtection="1">
      <alignment horizontal="center"/>
      <protection locked="0"/>
    </xf>
    <xf numFmtId="0" fontId="13" fillId="0" borderId="0" xfId="4" applyFont="1" applyFill="1" applyBorder="1" applyAlignment="1" applyProtection="1">
      <alignment vertical="center" wrapText="1"/>
      <protection locked="0"/>
    </xf>
    <xf numFmtId="165" fontId="4" fillId="0" borderId="0" xfId="0" applyNumberFormat="1" applyFont="1" applyAlignment="1">
      <alignment horizontal="center"/>
    </xf>
    <xf numFmtId="0" fontId="4" fillId="0" borderId="1" xfId="0" applyFont="1" applyBorder="1"/>
    <xf numFmtId="165" fontId="4" fillId="0" borderId="1" xfId="0" applyNumberFormat="1" applyFont="1" applyBorder="1" applyAlignment="1">
      <alignment horizontal="center"/>
    </xf>
    <xf numFmtId="165" fontId="4" fillId="0" borderId="13" xfId="0" applyNumberFormat="1" applyFont="1" applyBorder="1" applyAlignment="1">
      <alignment horizontal="center"/>
    </xf>
    <xf numFmtId="165" fontId="4" fillId="0" borderId="9" xfId="0" applyNumberFormat="1" applyFont="1" applyBorder="1" applyAlignment="1">
      <alignment horizontal="center"/>
    </xf>
    <xf numFmtId="14" fontId="4" fillId="0" borderId="1" xfId="0" applyNumberFormat="1" applyFont="1" applyBorder="1" applyAlignment="1">
      <alignment horizontal="center"/>
    </xf>
    <xf numFmtId="0" fontId="4" fillId="0" borderId="1" xfId="0" applyFont="1" applyBorder="1" applyAlignment="1">
      <alignment horizontal="center"/>
    </xf>
    <xf numFmtId="166" fontId="4" fillId="0" borderId="13" xfId="2" applyNumberFormat="1" applyFont="1" applyFill="1" applyBorder="1" applyAlignment="1">
      <alignment horizontal="center"/>
    </xf>
    <xf numFmtId="166" fontId="4" fillId="0" borderId="34" xfId="2" applyNumberFormat="1" applyFont="1" applyFill="1" applyBorder="1" applyAlignment="1">
      <alignment horizontal="center"/>
    </xf>
    <xf numFmtId="0" fontId="4" fillId="0" borderId="1" xfId="0" applyFont="1" applyBorder="1" applyAlignment="1">
      <alignment horizontal="right"/>
    </xf>
    <xf numFmtId="1" fontId="4" fillId="0" borderId="1" xfId="0" applyNumberFormat="1" applyFont="1" applyBorder="1" applyAlignment="1">
      <alignment horizontal="center"/>
    </xf>
    <xf numFmtId="0" fontId="4" fillId="0" borderId="0" xfId="0" applyFont="1" applyAlignment="1">
      <alignment horizontal="center"/>
    </xf>
    <xf numFmtId="1" fontId="4" fillId="0" borderId="0" xfId="0" applyNumberFormat="1" applyFont="1" applyAlignment="1">
      <alignment horizontal="center"/>
    </xf>
    <xf numFmtId="14" fontId="4" fillId="0" borderId="1" xfId="0" applyNumberFormat="1" applyFont="1" applyBorder="1"/>
    <xf numFmtId="9" fontId="4" fillId="0" borderId="1" xfId="0" applyNumberFormat="1" applyFont="1" applyBorder="1"/>
    <xf numFmtId="0" fontId="4" fillId="0" borderId="9" xfId="0" applyFont="1" applyBorder="1"/>
    <xf numFmtId="0" fontId="5" fillId="0" borderId="28" xfId="0" applyFont="1" applyBorder="1" applyAlignment="1">
      <alignment horizontal="left"/>
    </xf>
    <xf numFmtId="9" fontId="4" fillId="0" borderId="29" xfId="0" applyNumberFormat="1" applyFont="1" applyBorder="1"/>
    <xf numFmtId="0" fontId="4" fillId="0" borderId="29" xfId="0" applyFont="1" applyBorder="1"/>
    <xf numFmtId="14" fontId="4" fillId="0" borderId="29" xfId="0" applyNumberFormat="1" applyFont="1" applyBorder="1"/>
    <xf numFmtId="0" fontId="5" fillId="0" borderId="28" xfId="0" applyFont="1" applyBorder="1"/>
    <xf numFmtId="0" fontId="4" fillId="0" borderId="30" xfId="0" applyFont="1" applyBorder="1"/>
    <xf numFmtId="165" fontId="5" fillId="0" borderId="29" xfId="0" applyNumberFormat="1" applyFont="1" applyBorder="1" applyAlignment="1">
      <alignment horizontal="left"/>
    </xf>
    <xf numFmtId="165" fontId="4" fillId="0" borderId="29" xfId="0" quotePrefix="1" applyNumberFormat="1" applyFont="1" applyBorder="1" applyAlignment="1">
      <alignment horizontal="center"/>
    </xf>
    <xf numFmtId="1" fontId="4" fillId="0" borderId="29" xfId="0" applyNumberFormat="1" applyFont="1" applyBorder="1" applyAlignment="1">
      <alignment horizontal="center"/>
    </xf>
    <xf numFmtId="165" fontId="4" fillId="0" borderId="29" xfId="0" applyNumberFormat="1" applyFont="1" applyBorder="1" applyAlignment="1">
      <alignment horizontal="center"/>
    </xf>
    <xf numFmtId="0" fontId="4" fillId="0" borderId="18" xfId="0" applyFont="1" applyBorder="1" applyAlignment="1">
      <alignment horizontal="center"/>
    </xf>
    <xf numFmtId="2" fontId="4" fillId="0" borderId="4" xfId="0" applyNumberFormat="1" applyFont="1" applyBorder="1" applyAlignment="1">
      <alignment horizontal="center"/>
    </xf>
    <xf numFmtId="0" fontId="12" fillId="0" borderId="4" xfId="0" applyFont="1" applyBorder="1" applyAlignment="1">
      <alignment horizontal="center"/>
    </xf>
    <xf numFmtId="0" fontId="4" fillId="0" borderId="4" xfId="0" applyFont="1" applyBorder="1" applyAlignment="1">
      <alignment horizontal="center"/>
    </xf>
    <xf numFmtId="0" fontId="4" fillId="0" borderId="19" xfId="0" applyFont="1" applyBorder="1" applyAlignment="1">
      <alignment horizontal="center"/>
    </xf>
    <xf numFmtId="165" fontId="4" fillId="0" borderId="32" xfId="0" applyNumberFormat="1" applyFont="1" applyBorder="1" applyAlignment="1">
      <alignment horizontal="center"/>
    </xf>
    <xf numFmtId="165" fontId="4" fillId="0" borderId="11" xfId="0" applyNumberFormat="1" applyFont="1" applyBorder="1" applyAlignment="1">
      <alignment horizontal="center"/>
    </xf>
    <xf numFmtId="165" fontId="4" fillId="0" borderId="12" xfId="0" applyNumberFormat="1" applyFont="1" applyBorder="1" applyAlignment="1">
      <alignment horizontal="center"/>
    </xf>
    <xf numFmtId="166" fontId="4" fillId="0" borderId="1" xfId="2" applyNumberFormat="1" applyFont="1" applyFill="1" applyBorder="1" applyAlignment="1">
      <alignment horizontal="center"/>
    </xf>
    <xf numFmtId="0" fontId="4" fillId="0" borderId="22" xfId="0" applyFont="1" applyBorder="1"/>
    <xf numFmtId="0" fontId="4" fillId="0" borderId="14" xfId="0" applyFont="1" applyBorder="1"/>
    <xf numFmtId="0" fontId="4" fillId="0" borderId="33" xfId="0" applyFont="1" applyBorder="1"/>
    <xf numFmtId="1" fontId="4" fillId="0" borderId="16" xfId="0" applyNumberFormat="1" applyFont="1" applyBorder="1" applyAlignment="1">
      <alignment horizontal="right"/>
    </xf>
    <xf numFmtId="1" fontId="4" fillId="0" borderId="16" xfId="0" applyNumberFormat="1" applyFont="1" applyBorder="1"/>
    <xf numFmtId="1" fontId="4" fillId="0" borderId="17" xfId="0" applyNumberFormat="1" applyFont="1" applyBorder="1"/>
    <xf numFmtId="165" fontId="4" fillId="0" borderId="0" xfId="0" quotePrefix="1" applyNumberFormat="1" applyFont="1" applyAlignment="1">
      <alignment horizontal="center"/>
    </xf>
    <xf numFmtId="165" fontId="4" fillId="0" borderId="0" xfId="0" applyNumberFormat="1" applyFont="1" applyAlignment="1">
      <alignment horizontal="right"/>
    </xf>
    <xf numFmtId="0" fontId="4" fillId="0" borderId="13" xfId="0" applyFont="1" applyBorder="1"/>
    <xf numFmtId="0" fontId="15" fillId="0" borderId="0" xfId="0" applyFont="1"/>
    <xf numFmtId="14" fontId="4" fillId="0" borderId="0" xfId="0" applyNumberFormat="1" applyFont="1"/>
    <xf numFmtId="0" fontId="12" fillId="0" borderId="0" xfId="0" applyFont="1" applyAlignment="1">
      <alignment horizontal="right"/>
    </xf>
    <xf numFmtId="0" fontId="12" fillId="0" borderId="0" xfId="0" applyFont="1"/>
    <xf numFmtId="0" fontId="16" fillId="0" borderId="35" xfId="0" applyFont="1" applyBorder="1"/>
    <xf numFmtId="0" fontId="4" fillId="0" borderId="26" xfId="0" applyFont="1" applyBorder="1"/>
    <xf numFmtId="0" fontId="4" fillId="0" borderId="2" xfId="0" applyFont="1" applyBorder="1"/>
    <xf numFmtId="1" fontId="4" fillId="0" borderId="35" xfId="0" applyNumberFormat="1" applyFont="1" applyBorder="1"/>
    <xf numFmtId="0" fontId="4" fillId="0" borderId="0" xfId="0" applyFont="1" applyAlignment="1">
      <alignment horizontal="right"/>
    </xf>
    <xf numFmtId="0" fontId="4" fillId="0" borderId="0" xfId="0" applyFont="1" applyAlignment="1">
      <alignment horizontal="left"/>
    </xf>
    <xf numFmtId="2" fontId="4" fillId="0" borderId="0" xfId="0" applyNumberFormat="1" applyFont="1" applyAlignment="1">
      <alignment horizontal="center"/>
    </xf>
    <xf numFmtId="0" fontId="12" fillId="0" borderId="0" xfId="0" applyFont="1" applyAlignment="1">
      <alignment horizontal="center"/>
    </xf>
    <xf numFmtId="165" fontId="12" fillId="0" borderId="0" xfId="0" applyNumberFormat="1" applyFont="1" applyAlignment="1">
      <alignment horizontal="right"/>
    </xf>
    <xf numFmtId="164" fontId="4" fillId="0" borderId="0" xfId="3" applyNumberFormat="1" applyFont="1" applyFill="1" applyAlignment="1">
      <alignment horizontal="right"/>
    </xf>
    <xf numFmtId="164" fontId="4" fillId="0" borderId="0" xfId="3" applyNumberFormat="1" applyFont="1" applyFill="1"/>
    <xf numFmtId="167" fontId="4" fillId="0" borderId="0" xfId="5" applyNumberFormat="1" applyFont="1" applyFill="1" applyBorder="1" applyAlignment="1">
      <alignment horizontal="right"/>
    </xf>
    <xf numFmtId="0" fontId="8" fillId="0" borderId="0" xfId="0" applyFont="1" applyAlignment="1">
      <alignment horizontal="right"/>
    </xf>
    <xf numFmtId="0" fontId="5" fillId="0" borderId="10" xfId="0" applyFont="1" applyBorder="1"/>
    <xf numFmtId="0" fontId="4" fillId="0" borderId="11" xfId="0" applyFont="1" applyBorder="1"/>
    <xf numFmtId="14" fontId="4" fillId="0" borderId="11" xfId="0" applyNumberFormat="1" applyFont="1" applyBorder="1"/>
    <xf numFmtId="0" fontId="4" fillId="0" borderId="12" xfId="0" applyFont="1" applyBorder="1"/>
    <xf numFmtId="0" fontId="4" fillId="0" borderId="13"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2" fontId="4" fillId="0" borderId="1" xfId="0" applyNumberFormat="1" applyFont="1" applyBorder="1" applyAlignment="1">
      <alignment horizontal="center"/>
    </xf>
    <xf numFmtId="0" fontId="12" fillId="0" borderId="1" xfId="0" applyFont="1" applyBorder="1" applyAlignment="1">
      <alignment horizontal="center"/>
    </xf>
    <xf numFmtId="0" fontId="5" fillId="0" borderId="10" xfId="0" applyFont="1" applyBorder="1" applyAlignment="1">
      <alignment horizontal="left"/>
    </xf>
    <xf numFmtId="0" fontId="12" fillId="0" borderId="11" xfId="0" applyFont="1" applyBorder="1" applyAlignment="1">
      <alignment horizontal="right"/>
    </xf>
    <xf numFmtId="0" fontId="4" fillId="0" borderId="27" xfId="0" applyFont="1" applyBorder="1"/>
    <xf numFmtId="0" fontId="4" fillId="0" borderId="9" xfId="0" applyFont="1" applyBorder="1" applyAlignment="1">
      <alignment horizontal="center"/>
    </xf>
    <xf numFmtId="0" fontId="5" fillId="2" borderId="0" xfId="0" applyFont="1" applyFill="1" applyAlignment="1">
      <alignment horizontal="left"/>
    </xf>
    <xf numFmtId="0" fontId="5" fillId="0" borderId="1" xfId="0" applyFont="1" applyBorder="1" applyAlignment="1">
      <alignment horizontal="left"/>
    </xf>
    <xf numFmtId="0" fontId="4" fillId="0" borderId="1" xfId="0" quotePrefix="1" applyFont="1" applyBorder="1" applyAlignment="1">
      <alignment horizontal="center"/>
    </xf>
    <xf numFmtId="1" fontId="4" fillId="0" borderId="1" xfId="0" quotePrefix="1" applyNumberFormat="1" applyFont="1" applyBorder="1" applyAlignment="1">
      <alignment horizontal="center"/>
    </xf>
    <xf numFmtId="0" fontId="11" fillId="2" borderId="26" xfId="0" applyFont="1" applyFill="1" applyBorder="1"/>
    <xf numFmtId="0" fontId="5" fillId="0" borderId="0" xfId="0" applyFont="1" applyAlignment="1" applyProtection="1">
      <alignment horizontal="right"/>
      <protection locked="0"/>
    </xf>
    <xf numFmtId="0" fontId="23" fillId="0" borderId="0" xfId="0" applyFont="1" applyProtection="1">
      <protection locked="0"/>
    </xf>
    <xf numFmtId="0" fontId="23" fillId="6" borderId="1" xfId="0" applyFont="1" applyFill="1" applyBorder="1" applyProtection="1">
      <protection locked="0"/>
    </xf>
    <xf numFmtId="0" fontId="23" fillId="0" borderId="1" xfId="0" applyFont="1" applyBorder="1" applyProtection="1">
      <protection locked="0"/>
    </xf>
    <xf numFmtId="0" fontId="23" fillId="0" borderId="1" xfId="0" applyFont="1" applyBorder="1" applyAlignment="1" applyProtection="1">
      <alignment wrapText="1"/>
      <protection locked="0"/>
    </xf>
    <xf numFmtId="0" fontId="23" fillId="0" borderId="1" xfId="0" applyFont="1" applyBorder="1" applyAlignment="1" applyProtection="1">
      <alignment horizontal="center"/>
      <protection locked="0"/>
    </xf>
    <xf numFmtId="0" fontId="23" fillId="0" borderId="1" xfId="4" applyFont="1" applyFill="1" applyBorder="1" applyAlignment="1" applyProtection="1">
      <alignment horizontal="center"/>
      <protection locked="0"/>
    </xf>
    <xf numFmtId="0" fontId="24" fillId="0" borderId="1" xfId="0" applyFont="1" applyBorder="1" applyAlignment="1" applyProtection="1">
      <alignment horizontal="center"/>
      <protection locked="0"/>
    </xf>
    <xf numFmtId="1" fontId="24" fillId="0" borderId="1" xfId="0" applyNumberFormat="1" applyFont="1" applyBorder="1" applyAlignment="1" applyProtection="1">
      <alignment horizontal="center"/>
      <protection locked="0"/>
    </xf>
    <xf numFmtId="0" fontId="5" fillId="0" borderId="0" xfId="0" applyFont="1"/>
    <xf numFmtId="0" fontId="26" fillId="4" borderId="0" xfId="0" applyFont="1" applyFill="1"/>
    <xf numFmtId="14" fontId="26" fillId="4" borderId="0" xfId="0" applyNumberFormat="1" applyFont="1" applyFill="1"/>
    <xf numFmtId="10" fontId="26" fillId="4" borderId="0" xfId="3" applyNumberFormat="1" applyFont="1" applyFill="1" applyBorder="1"/>
    <xf numFmtId="9" fontId="26" fillId="4" borderId="0" xfId="0" applyNumberFormat="1" applyFont="1" applyFill="1"/>
    <xf numFmtId="43" fontId="26" fillId="4" borderId="0" xfId="0" applyNumberFormat="1" applyFont="1" applyFill="1"/>
    <xf numFmtId="0" fontId="26" fillId="4" borderId="0" xfId="0" applyFont="1" applyFill="1" applyAlignment="1">
      <alignment horizontal="right"/>
    </xf>
    <xf numFmtId="14" fontId="4" fillId="4" borderId="0" xfId="0" applyNumberFormat="1" applyFont="1" applyFill="1"/>
    <xf numFmtId="2" fontId="4" fillId="4" borderId="0" xfId="0" applyNumberFormat="1" applyFont="1" applyFill="1"/>
    <xf numFmtId="10" fontId="4" fillId="4" borderId="0" xfId="3" applyNumberFormat="1" applyFont="1" applyFill="1" applyBorder="1"/>
    <xf numFmtId="1" fontId="4" fillId="0" borderId="0" xfId="1" applyNumberFormat="1" applyFont="1" applyFill="1" applyBorder="1"/>
    <xf numFmtId="1" fontId="4" fillId="0" borderId="0" xfId="0" applyNumberFormat="1" applyFont="1"/>
    <xf numFmtId="2" fontId="4" fillId="0" borderId="0" xfId="0" applyNumberFormat="1" applyFont="1"/>
    <xf numFmtId="9" fontId="4" fillId="4" borderId="0" xfId="3" applyFont="1" applyFill="1" applyBorder="1"/>
    <xf numFmtId="43" fontId="4" fillId="4" borderId="0" xfId="0" applyNumberFormat="1" applyFont="1" applyFill="1"/>
    <xf numFmtId="16" fontId="4" fillId="4" borderId="0" xfId="0" applyNumberFormat="1" applyFont="1" applyFill="1"/>
    <xf numFmtId="14" fontId="4" fillId="4" borderId="0" xfId="5" applyNumberFormat="1" applyFont="1" applyFill="1" applyBorder="1"/>
    <xf numFmtId="0" fontId="4" fillId="4" borderId="0" xfId="0" applyFont="1" applyFill="1" applyAlignment="1">
      <alignment horizontal="right"/>
    </xf>
    <xf numFmtId="43" fontId="4" fillId="0" borderId="0" xfId="5" applyFont="1" applyFill="1" applyBorder="1"/>
    <xf numFmtId="164" fontId="4" fillId="0" borderId="0" xfId="3" applyNumberFormat="1" applyFont="1" applyFill="1" applyBorder="1"/>
    <xf numFmtId="10" fontId="4" fillId="0" borderId="0" xfId="3" applyNumberFormat="1" applyFont="1" applyFill="1" applyBorder="1"/>
    <xf numFmtId="167" fontId="4" fillId="0" borderId="0" xfId="0" applyNumberFormat="1" applyFont="1" applyAlignment="1">
      <alignment horizontal="left"/>
    </xf>
    <xf numFmtId="0" fontId="12" fillId="0" borderId="0" xfId="0" applyFont="1" applyAlignment="1">
      <alignment horizontal="left"/>
    </xf>
    <xf numFmtId="0" fontId="32" fillId="0" borderId="0" xfId="0" applyFont="1" applyAlignment="1">
      <alignment horizontal="right"/>
    </xf>
    <xf numFmtId="0" fontId="32" fillId="0" borderId="0" xfId="0" applyFont="1"/>
    <xf numFmtId="0" fontId="32" fillId="0" borderId="0" xfId="0" applyFont="1" applyAlignment="1">
      <alignment horizontal="left"/>
    </xf>
    <xf numFmtId="168" fontId="4" fillId="0" borderId="0" xfId="5" applyNumberFormat="1" applyFont="1" applyFill="1" applyBorder="1"/>
    <xf numFmtId="2" fontId="12" fillId="0" borderId="0" xfId="3" applyNumberFormat="1" applyFont="1" applyFill="1" applyBorder="1"/>
    <xf numFmtId="9" fontId="12" fillId="0" borderId="0" xfId="3" applyFont="1" applyFill="1" applyBorder="1"/>
    <xf numFmtId="169" fontId="4" fillId="0" borderId="0" xfId="0" applyNumberFormat="1" applyFont="1"/>
    <xf numFmtId="0" fontId="12" fillId="0" borderId="1" xfId="0" applyFont="1" applyBorder="1"/>
    <xf numFmtId="2" fontId="4" fillId="0" borderId="1" xfId="0" applyNumberFormat="1" applyFont="1" applyBorder="1"/>
    <xf numFmtId="2" fontId="4" fillId="0" borderId="1" xfId="3" applyNumberFormat="1" applyFont="1" applyFill="1" applyBorder="1"/>
    <xf numFmtId="0" fontId="4" fillId="0" borderId="5" xfId="0" applyFont="1" applyBorder="1"/>
    <xf numFmtId="2" fontId="12" fillId="0" borderId="1" xfId="0" applyNumberFormat="1" applyFont="1" applyBorder="1"/>
    <xf numFmtId="14" fontId="4" fillId="2" borderId="1" xfId="0" applyNumberFormat="1" applyFont="1" applyFill="1" applyBorder="1"/>
    <xf numFmtId="0" fontId="33" fillId="2" borderId="1" xfId="0" applyFont="1" applyFill="1" applyBorder="1"/>
    <xf numFmtId="2" fontId="4" fillId="7" borderId="1" xfId="0" applyNumberFormat="1" applyFont="1" applyFill="1" applyBorder="1" applyAlignment="1">
      <alignment horizontal="right"/>
    </xf>
    <xf numFmtId="2" fontId="12" fillId="7" borderId="1" xfId="0" applyNumberFormat="1" applyFont="1" applyFill="1" applyBorder="1" applyAlignment="1">
      <alignment horizontal="right"/>
    </xf>
    <xf numFmtId="2" fontId="12" fillId="2" borderId="1" xfId="0" applyNumberFormat="1" applyFont="1" applyFill="1" applyBorder="1" applyAlignment="1">
      <alignment horizontal="right"/>
    </xf>
    <xf numFmtId="2" fontId="4" fillId="2" borderId="1" xfId="1" applyNumberFormat="1" applyFont="1" applyFill="1" applyBorder="1"/>
    <xf numFmtId="2" fontId="5" fillId="2" borderId="1" xfId="1" applyNumberFormat="1" applyFont="1" applyFill="1" applyBorder="1"/>
    <xf numFmtId="43" fontId="5" fillId="2" borderId="1" xfId="1" applyFont="1" applyFill="1" applyBorder="1" applyAlignment="1" applyProtection="1">
      <alignment horizontal="center" vertical="center"/>
      <protection locked="0"/>
    </xf>
    <xf numFmtId="0" fontId="4" fillId="4" borderId="1" xfId="0" applyFont="1" applyFill="1" applyBorder="1"/>
    <xf numFmtId="0" fontId="40" fillId="0" borderId="0" xfId="0" applyFont="1" applyAlignment="1" applyProtection="1">
      <alignment vertical="center" wrapText="1"/>
      <protection locked="0"/>
    </xf>
    <xf numFmtId="0" fontId="38" fillId="0" borderId="0" xfId="4" applyFont="1" applyBorder="1" applyAlignment="1" applyProtection="1">
      <protection locked="0"/>
    </xf>
    <xf numFmtId="0" fontId="8" fillId="0" borderId="0" xfId="0" applyFont="1" applyAlignment="1" applyProtection="1">
      <alignment vertical="center"/>
      <protection locked="0"/>
    </xf>
    <xf numFmtId="166" fontId="4" fillId="0" borderId="1" xfId="2" applyNumberFormat="1" applyFont="1" applyFill="1" applyBorder="1"/>
    <xf numFmtId="166" fontId="4" fillId="7" borderId="1" xfId="2" applyNumberFormat="1" applyFont="1" applyFill="1" applyBorder="1"/>
    <xf numFmtId="0" fontId="4" fillId="0" borderId="0" xfId="0" applyFont="1" applyAlignment="1" applyProtection="1">
      <alignment vertical="center"/>
      <protection locked="0"/>
    </xf>
    <xf numFmtId="166" fontId="4" fillId="0" borderId="0" xfId="2" applyNumberFormat="1" applyFont="1" applyFill="1" applyBorder="1" applyAlignment="1">
      <alignment horizontal="center"/>
    </xf>
    <xf numFmtId="2" fontId="5" fillId="9" borderId="0" xfId="0" applyNumberFormat="1" applyFont="1" applyFill="1"/>
    <xf numFmtId="166" fontId="4" fillId="0" borderId="0" xfId="2" applyNumberFormat="1" applyFont="1" applyFill="1" applyBorder="1"/>
    <xf numFmtId="9" fontId="4" fillId="0" borderId="0" xfId="0" applyNumberFormat="1" applyFont="1"/>
    <xf numFmtId="0" fontId="5" fillId="9" borderId="1" xfId="0" applyFont="1" applyFill="1" applyBorder="1"/>
    <xf numFmtId="0" fontId="4" fillId="2" borderId="0" xfId="0" applyFont="1" applyFill="1" applyProtection="1">
      <protection locked="0"/>
    </xf>
    <xf numFmtId="43" fontId="5" fillId="2" borderId="14" xfId="1" applyFont="1" applyFill="1" applyBorder="1" applyAlignment="1" applyProtection="1">
      <alignment horizontal="center" vertical="center"/>
      <protection locked="0"/>
    </xf>
    <xf numFmtId="0" fontId="35" fillId="2" borderId="1" xfId="0" applyFont="1" applyFill="1" applyBorder="1"/>
    <xf numFmtId="0" fontId="26" fillId="4" borderId="1" xfId="0" applyFont="1" applyFill="1" applyBorder="1"/>
    <xf numFmtId="14" fontId="26" fillId="4" borderId="1" xfId="0" applyNumberFormat="1" applyFont="1" applyFill="1" applyBorder="1"/>
    <xf numFmtId="0" fontId="26" fillId="0" borderId="1" xfId="0" applyFont="1" applyBorder="1" applyAlignment="1">
      <alignment horizontal="center"/>
    </xf>
    <xf numFmtId="0" fontId="26" fillId="0" borderId="1" xfId="0" applyFont="1" applyBorder="1"/>
    <xf numFmtId="0" fontId="26" fillId="0" borderId="0" xfId="0" applyFont="1"/>
    <xf numFmtId="0" fontId="26" fillId="0" borderId="0" xfId="0" applyFont="1" applyAlignment="1">
      <alignment horizontal="center"/>
    </xf>
    <xf numFmtId="0" fontId="26" fillId="2" borderId="1" xfId="0" applyFont="1" applyFill="1" applyBorder="1"/>
    <xf numFmtId="166" fontId="26" fillId="4" borderId="1" xfId="2" applyNumberFormat="1" applyFont="1" applyFill="1" applyBorder="1"/>
    <xf numFmtId="0" fontId="5" fillId="2" borderId="1" xfId="0" applyFont="1" applyFill="1" applyBorder="1" applyAlignment="1">
      <alignment horizontal="left"/>
    </xf>
    <xf numFmtId="0" fontId="3" fillId="0" borderId="1" xfId="0" applyFont="1" applyBorder="1" applyAlignment="1" applyProtection="1">
      <alignment horizontal="left"/>
      <protection locked="0"/>
    </xf>
    <xf numFmtId="0" fontId="5" fillId="0" borderId="1" xfId="0" applyFont="1" applyBorder="1" applyAlignment="1" applyProtection="1">
      <alignment horizontal="center" wrapText="1"/>
      <protection locked="0"/>
    </xf>
    <xf numFmtId="0" fontId="8" fillId="0" borderId="1" xfId="0" applyFont="1" applyBorder="1" applyAlignment="1" applyProtection="1">
      <alignment horizontal="center" wrapText="1"/>
      <protection locked="0"/>
    </xf>
    <xf numFmtId="0" fontId="4" fillId="0" borderId="1" xfId="0" applyFont="1" applyBorder="1" applyProtection="1">
      <protection locked="0"/>
    </xf>
    <xf numFmtId="0" fontId="23" fillId="10" borderId="1" xfId="0" applyFont="1" applyFill="1" applyBorder="1" applyAlignment="1" applyProtection="1">
      <alignment horizontal="center"/>
      <protection locked="0"/>
    </xf>
    <xf numFmtId="0" fontId="4" fillId="11" borderId="14" xfId="0" applyFont="1" applyFill="1" applyBorder="1" applyAlignment="1" applyProtection="1">
      <alignment horizontal="center"/>
      <protection locked="0"/>
    </xf>
    <xf numFmtId="9" fontId="4" fillId="3" borderId="1" xfId="3" applyFont="1" applyFill="1" applyBorder="1" applyAlignment="1" applyProtection="1">
      <alignment horizontal="center"/>
      <protection locked="0"/>
    </xf>
    <xf numFmtId="0" fontId="3" fillId="5" borderId="13" xfId="0" applyFont="1" applyFill="1" applyBorder="1" applyAlignment="1" applyProtection="1">
      <alignment horizontal="left"/>
      <protection locked="0"/>
    </xf>
    <xf numFmtId="0" fontId="5" fillId="5" borderId="1" xfId="0" applyFont="1" applyFill="1" applyBorder="1" applyAlignment="1" applyProtection="1">
      <alignment horizontal="center" wrapText="1"/>
      <protection locked="0"/>
    </xf>
    <xf numFmtId="0" fontId="8" fillId="5" borderId="1" xfId="0" applyFont="1" applyFill="1" applyBorder="1" applyAlignment="1" applyProtection="1">
      <alignment horizontal="center" wrapText="1"/>
      <protection locked="0"/>
    </xf>
    <xf numFmtId="0" fontId="4" fillId="5" borderId="1" xfId="0" applyFont="1" applyFill="1" applyBorder="1" applyProtection="1">
      <protection locked="0"/>
    </xf>
    <xf numFmtId="43" fontId="4" fillId="5" borderId="1" xfId="1" applyFont="1" applyFill="1" applyBorder="1" applyAlignment="1" applyProtection="1">
      <alignment horizontal="center" vertical="center"/>
      <protection locked="0"/>
    </xf>
    <xf numFmtId="43" fontId="5" fillId="5" borderId="14" xfId="1" applyFont="1" applyFill="1" applyBorder="1" applyAlignment="1" applyProtection="1">
      <alignment horizontal="center" vertical="center"/>
      <protection locked="0"/>
    </xf>
    <xf numFmtId="0" fontId="5" fillId="2" borderId="13" xfId="0" applyFont="1" applyFill="1" applyBorder="1" applyAlignment="1" applyProtection="1">
      <alignment horizontal="left"/>
      <protection locked="0"/>
    </xf>
    <xf numFmtId="43" fontId="5" fillId="12" borderId="20" xfId="1" applyFont="1" applyFill="1" applyBorder="1" applyAlignment="1" applyProtection="1">
      <alignment horizontal="center"/>
      <protection locked="0"/>
    </xf>
    <xf numFmtId="9" fontId="5" fillId="0" borderId="0" xfId="3" applyFont="1" applyFill="1" applyBorder="1" applyAlignment="1" applyProtection="1">
      <alignment wrapText="1"/>
      <protection locked="0"/>
    </xf>
    <xf numFmtId="0" fontId="44" fillId="0" borderId="0" xfId="4" applyFont="1" applyFill="1" applyBorder="1" applyAlignment="1" applyProtection="1">
      <alignment vertical="center" wrapText="1"/>
      <protection locked="0"/>
    </xf>
    <xf numFmtId="0" fontId="35" fillId="0" borderId="0" xfId="0" applyFont="1"/>
    <xf numFmtId="14" fontId="26" fillId="0" borderId="0" xfId="0" applyNumberFormat="1" applyFont="1"/>
    <xf numFmtId="2" fontId="4" fillId="0" borderId="0" xfId="0" applyNumberFormat="1" applyFont="1" applyAlignment="1">
      <alignment horizontal="right"/>
    </xf>
    <xf numFmtId="2" fontId="12" fillId="0" borderId="0" xfId="0" applyNumberFormat="1" applyFont="1" applyAlignment="1">
      <alignment horizontal="right"/>
    </xf>
    <xf numFmtId="2" fontId="5" fillId="0" borderId="0" xfId="1" applyNumberFormat="1" applyFont="1" applyFill="1" applyBorder="1"/>
    <xf numFmtId="2" fontId="4" fillId="0" borderId="0" xfId="1" applyNumberFormat="1" applyFont="1" applyFill="1" applyBorder="1"/>
    <xf numFmtId="2" fontId="12" fillId="0" borderId="0" xfId="0" applyNumberFormat="1" applyFont="1"/>
    <xf numFmtId="44" fontId="4" fillId="0" borderId="0" xfId="2" applyFont="1" applyFill="1" applyBorder="1"/>
    <xf numFmtId="166" fontId="26" fillId="0" borderId="0" xfId="2" applyNumberFormat="1" applyFont="1" applyFill="1" applyBorder="1"/>
    <xf numFmtId="166" fontId="26" fillId="0" borderId="0" xfId="0" applyNumberFormat="1" applyFont="1"/>
    <xf numFmtId="0" fontId="5" fillId="0" borderId="0" xfId="0" applyFont="1" applyAlignment="1">
      <alignment horizontal="left"/>
    </xf>
    <xf numFmtId="165" fontId="5" fillId="0" borderId="0" xfId="0" applyNumberFormat="1" applyFont="1" applyAlignment="1">
      <alignment horizontal="left"/>
    </xf>
    <xf numFmtId="44" fontId="4" fillId="0" borderId="0" xfId="0" applyNumberFormat="1" applyFont="1"/>
    <xf numFmtId="1" fontId="4" fillId="0" borderId="0" xfId="0" applyNumberFormat="1" applyFont="1" applyAlignment="1">
      <alignment horizontal="right"/>
    </xf>
    <xf numFmtId="0" fontId="4" fillId="9" borderId="1" xfId="0" applyFont="1" applyFill="1" applyBorder="1"/>
    <xf numFmtId="0" fontId="20" fillId="0" borderId="1" xfId="0" applyFont="1" applyBorder="1"/>
    <xf numFmtId="0" fontId="5" fillId="2" borderId="36" xfId="0" applyFont="1" applyFill="1" applyBorder="1" applyAlignment="1" applyProtection="1">
      <alignment horizontal="left"/>
      <protection locked="0"/>
    </xf>
    <xf numFmtId="0" fontId="4" fillId="0" borderId="0" xfId="0" applyFont="1" applyAlignment="1" applyProtection="1">
      <alignment horizontal="right"/>
      <protection locked="0"/>
    </xf>
    <xf numFmtId="0" fontId="4" fillId="0" borderId="2" xfId="0" applyFont="1" applyBorder="1" applyAlignment="1" applyProtection="1">
      <alignment horizontal="right"/>
      <protection locked="0"/>
    </xf>
    <xf numFmtId="1" fontId="7" fillId="13" borderId="1" xfId="1" quotePrefix="1" applyNumberFormat="1" applyFont="1" applyFill="1" applyBorder="1" applyAlignment="1" applyProtection="1">
      <alignment horizontal="center"/>
      <protection locked="0"/>
    </xf>
    <xf numFmtId="14" fontId="5" fillId="13" borderId="4" xfId="0" applyNumberFormat="1" applyFont="1" applyFill="1" applyBorder="1" applyAlignment="1" applyProtection="1">
      <alignment horizontal="center"/>
      <protection locked="0"/>
    </xf>
    <xf numFmtId="0" fontId="43" fillId="2" borderId="40" xfId="0" applyFont="1" applyFill="1" applyBorder="1" applyAlignment="1" applyProtection="1">
      <alignment vertical="center"/>
      <protection locked="0"/>
    </xf>
    <xf numFmtId="0" fontId="4" fillId="0" borderId="9" xfId="0" applyFont="1" applyBorder="1" applyProtection="1">
      <protection locked="0"/>
    </xf>
    <xf numFmtId="0" fontId="4" fillId="0" borderId="36" xfId="0" applyFont="1" applyBorder="1" applyProtection="1">
      <protection locked="0"/>
    </xf>
    <xf numFmtId="0" fontId="4" fillId="0" borderId="22" xfId="0" applyFont="1" applyBorder="1" applyProtection="1">
      <protection locked="0"/>
    </xf>
    <xf numFmtId="166" fontId="4" fillId="4" borderId="1" xfId="2" applyNumberFormat="1" applyFont="1" applyFill="1" applyBorder="1" applyProtection="1">
      <protection locked="0"/>
    </xf>
    <xf numFmtId="0" fontId="4" fillId="0" borderId="0" xfId="0" applyFont="1" applyProtection="1">
      <protection locked="0"/>
    </xf>
    <xf numFmtId="0" fontId="5" fillId="0" borderId="1" xfId="0" applyFont="1" applyBorder="1" applyAlignment="1" applyProtection="1">
      <alignment horizontal="center"/>
      <protection locked="0"/>
    </xf>
    <xf numFmtId="0" fontId="4" fillId="4" borderId="0" xfId="0" applyFont="1" applyFill="1" applyProtection="1">
      <protection locked="0"/>
    </xf>
    <xf numFmtId="0" fontId="5" fillId="0" borderId="1" xfId="0" applyFont="1" applyBorder="1" applyProtection="1">
      <protection locked="0"/>
    </xf>
    <xf numFmtId="0" fontId="5" fillId="0" borderId="5" xfId="0" applyFont="1" applyBorder="1" applyProtection="1">
      <protection locked="0"/>
    </xf>
    <xf numFmtId="43" fontId="4" fillId="2" borderId="1" xfId="1" applyFont="1" applyFill="1" applyBorder="1" applyProtection="1">
      <protection locked="0"/>
    </xf>
    <xf numFmtId="43" fontId="5" fillId="4" borderId="0" xfId="1" applyFont="1" applyFill="1" applyBorder="1" applyAlignment="1" applyProtection="1">
      <alignment horizontal="center" vertical="center"/>
      <protection locked="0"/>
    </xf>
    <xf numFmtId="43" fontId="4" fillId="4" borderId="0" xfId="1" applyFont="1" applyFill="1" applyBorder="1" applyAlignment="1" applyProtection="1">
      <alignment horizontal="center" wrapText="1"/>
      <protection locked="0"/>
    </xf>
    <xf numFmtId="0" fontId="5" fillId="0" borderId="1" xfId="0" applyFont="1" applyBorder="1" applyAlignment="1" applyProtection="1">
      <alignment horizontal="center" vertical="center" wrapText="1"/>
      <protection locked="0"/>
    </xf>
    <xf numFmtId="0" fontId="4" fillId="11" borderId="13" xfId="0" applyFont="1" applyFill="1" applyBorder="1" applyAlignment="1" applyProtection="1">
      <alignment horizontal="center"/>
      <protection locked="0"/>
    </xf>
    <xf numFmtId="0" fontId="4" fillId="5" borderId="13" xfId="0" applyFont="1" applyFill="1" applyBorder="1" applyAlignment="1" applyProtection="1">
      <alignment horizontal="center"/>
      <protection locked="0"/>
    </xf>
    <xf numFmtId="2" fontId="12" fillId="5" borderId="14" xfId="3" applyNumberFormat="1" applyFont="1" applyFill="1" applyBorder="1" applyAlignment="1" applyProtection="1">
      <alignment horizontal="center"/>
      <protection locked="0"/>
    </xf>
    <xf numFmtId="0" fontId="12" fillId="5" borderId="13" xfId="0" applyFont="1" applyFill="1" applyBorder="1" applyAlignment="1" applyProtection="1">
      <alignment horizontal="center"/>
      <protection locked="0"/>
    </xf>
    <xf numFmtId="41" fontId="4" fillId="4" borderId="0" xfId="2" applyNumberFormat="1" applyFont="1" applyFill="1" applyBorder="1" applyAlignment="1" applyProtection="1">
      <alignment horizontal="center" vertical="center"/>
      <protection locked="0"/>
    </xf>
    <xf numFmtId="2" fontId="4" fillId="11" borderId="14" xfId="0" applyNumberFormat="1" applyFont="1" applyFill="1" applyBorder="1" applyAlignment="1" applyProtection="1">
      <alignment horizontal="center"/>
      <protection locked="0"/>
    </xf>
    <xf numFmtId="2" fontId="4" fillId="5" borderId="14" xfId="0" applyNumberFormat="1" applyFont="1" applyFill="1" applyBorder="1" applyAlignment="1" applyProtection="1">
      <alignment horizontal="center"/>
      <protection locked="0"/>
    </xf>
    <xf numFmtId="0" fontId="4" fillId="11" borderId="15" xfId="0" applyFont="1" applyFill="1" applyBorder="1" applyAlignment="1" applyProtection="1">
      <alignment horizontal="right"/>
      <protection locked="0"/>
    </xf>
    <xf numFmtId="0" fontId="4" fillId="11" borderId="17" xfId="0" applyFont="1" applyFill="1" applyBorder="1" applyAlignment="1" applyProtection="1">
      <alignment horizontal="center"/>
      <protection locked="0"/>
    </xf>
    <xf numFmtId="0" fontId="4" fillId="5" borderId="15" xfId="0" applyFont="1" applyFill="1" applyBorder="1" applyAlignment="1" applyProtection="1">
      <alignment horizontal="right"/>
      <protection locked="0"/>
    </xf>
    <xf numFmtId="0" fontId="4" fillId="5" borderId="17" xfId="0" applyFont="1" applyFill="1" applyBorder="1" applyAlignment="1" applyProtection="1">
      <alignment horizontal="center"/>
      <protection locked="0"/>
    </xf>
    <xf numFmtId="0" fontId="5" fillId="0" borderId="0" xfId="0" applyFont="1" applyProtection="1">
      <protection locked="0"/>
    </xf>
    <xf numFmtId="0" fontId="5" fillId="5" borderId="9" xfId="0" applyFont="1" applyFill="1" applyBorder="1" applyProtection="1">
      <protection locked="0"/>
    </xf>
    <xf numFmtId="0" fontId="5" fillId="5" borderId="36" xfId="0" applyFont="1" applyFill="1" applyBorder="1" applyProtection="1">
      <protection locked="0"/>
    </xf>
    <xf numFmtId="0" fontId="5" fillId="5" borderId="22" xfId="0" applyFont="1" applyFill="1" applyBorder="1" applyProtection="1">
      <protection locked="0"/>
    </xf>
    <xf numFmtId="0" fontId="5" fillId="5" borderId="1" xfId="0" applyFont="1" applyFill="1" applyBorder="1" applyProtection="1">
      <protection locked="0"/>
    </xf>
    <xf numFmtId="41" fontId="5" fillId="4" borderId="0" xfId="2" applyNumberFormat="1" applyFont="1" applyFill="1" applyBorder="1" applyAlignment="1" applyProtection="1">
      <alignment horizontal="center" vertical="center"/>
      <protection locked="0"/>
    </xf>
    <xf numFmtId="0" fontId="28" fillId="0" borderId="9" xfId="0" applyFont="1" applyBorder="1" applyProtection="1">
      <protection locked="0"/>
    </xf>
    <xf numFmtId="0" fontId="28" fillId="0" borderId="36" xfId="0" applyFont="1" applyBorder="1" applyProtection="1">
      <protection locked="0"/>
    </xf>
    <xf numFmtId="0" fontId="28" fillId="0" borderId="22" xfId="0" applyFont="1" applyBorder="1" applyProtection="1">
      <protection locked="0"/>
    </xf>
    <xf numFmtId="0" fontId="4" fillId="0" borderId="1" xfId="0" applyFont="1" applyBorder="1" applyAlignment="1" applyProtection="1">
      <alignment horizontal="left"/>
      <protection locked="0"/>
    </xf>
    <xf numFmtId="164" fontId="9" fillId="0" borderId="1" xfId="3" applyNumberFormat="1" applyFont="1" applyFill="1" applyBorder="1" applyAlignment="1" applyProtection="1">
      <alignment horizontal="center"/>
      <protection locked="0"/>
    </xf>
    <xf numFmtId="41" fontId="4" fillId="4" borderId="0" xfId="1" applyNumberFormat="1" applyFont="1" applyFill="1" applyBorder="1" applyAlignment="1" applyProtection="1">
      <alignment horizontal="center" vertical="center"/>
      <protection locked="0"/>
    </xf>
    <xf numFmtId="0" fontId="28" fillId="0" borderId="9" xfId="0" applyFont="1" applyBorder="1" applyAlignment="1" applyProtection="1">
      <alignment vertical="top"/>
      <protection locked="0"/>
    </xf>
    <xf numFmtId="0" fontId="28" fillId="0" borderId="36" xfId="0" applyFont="1" applyBorder="1" applyAlignment="1" applyProtection="1">
      <alignment vertical="top"/>
      <protection locked="0"/>
    </xf>
    <xf numFmtId="0" fontId="28" fillId="0" borderId="22" xfId="0" applyFont="1" applyBorder="1" applyAlignment="1" applyProtection="1">
      <alignment vertical="top"/>
      <protection locked="0"/>
    </xf>
    <xf numFmtId="0" fontId="29" fillId="0" borderId="1" xfId="0" applyFont="1" applyBorder="1" applyAlignment="1" applyProtection="1">
      <alignment horizontal="center" vertical="top"/>
      <protection locked="0"/>
    </xf>
    <xf numFmtId="0" fontId="4" fillId="0" borderId="5" xfId="0" applyFont="1" applyBorder="1" applyProtection="1">
      <protection locked="0"/>
    </xf>
    <xf numFmtId="41" fontId="5" fillId="5" borderId="22" xfId="1" applyNumberFormat="1" applyFont="1" applyFill="1" applyBorder="1" applyAlignment="1" applyProtection="1">
      <alignment horizontal="center" vertical="center"/>
      <protection locked="0"/>
    </xf>
    <xf numFmtId="0" fontId="5" fillId="3" borderId="9" xfId="0" applyFont="1" applyFill="1" applyBorder="1" applyProtection="1">
      <protection locked="0"/>
    </xf>
    <xf numFmtId="0" fontId="5" fillId="3" borderId="36" xfId="0" applyFont="1" applyFill="1" applyBorder="1" applyProtection="1">
      <protection locked="0"/>
    </xf>
    <xf numFmtId="0" fontId="5" fillId="3" borderId="22" xfId="0" applyFont="1" applyFill="1" applyBorder="1" applyProtection="1">
      <protection locked="0"/>
    </xf>
    <xf numFmtId="41" fontId="5" fillId="4" borderId="0" xfId="1" applyNumberFormat="1" applyFont="1" applyFill="1" applyBorder="1" applyAlignment="1" applyProtection="1">
      <alignment horizontal="center" vertical="center"/>
      <protection locked="0"/>
    </xf>
    <xf numFmtId="0" fontId="18" fillId="0" borderId="36" xfId="0" applyFont="1" applyBorder="1" applyAlignment="1" applyProtection="1">
      <alignment horizontal="right"/>
      <protection locked="0"/>
    </xf>
    <xf numFmtId="0" fontId="18" fillId="0" borderId="36" xfId="0" applyFont="1" applyBorder="1" applyProtection="1">
      <protection locked="0"/>
    </xf>
    <xf numFmtId="0" fontId="18" fillId="0" borderId="37" xfId="0" applyFont="1" applyBorder="1" applyProtection="1">
      <protection locked="0"/>
    </xf>
    <xf numFmtId="41" fontId="19" fillId="0" borderId="36" xfId="2" applyNumberFormat="1" applyFont="1" applyFill="1" applyBorder="1" applyAlignment="1" applyProtection="1">
      <alignment horizontal="center" vertical="center"/>
      <protection locked="0"/>
    </xf>
    <xf numFmtId="41" fontId="18" fillId="0" borderId="22" xfId="2" applyNumberFormat="1" applyFont="1" applyFill="1" applyBorder="1" applyAlignment="1" applyProtection="1">
      <alignment horizontal="center" vertical="center"/>
      <protection locked="0"/>
    </xf>
    <xf numFmtId="0" fontId="4" fillId="3" borderId="1" xfId="0" applyFont="1" applyFill="1" applyBorder="1" applyProtection="1">
      <protection locked="0"/>
    </xf>
    <xf numFmtId="0" fontId="43" fillId="3" borderId="9" xfId="0" applyFont="1" applyFill="1" applyBorder="1" applyAlignment="1" applyProtection="1">
      <alignment horizontal="right"/>
      <protection locked="0"/>
    </xf>
    <xf numFmtId="0" fontId="3" fillId="2" borderId="36" xfId="0" applyFont="1" applyFill="1" applyBorder="1" applyAlignment="1" applyProtection="1">
      <alignment horizontal="left"/>
      <protection locked="0"/>
    </xf>
    <xf numFmtId="0" fontId="3" fillId="2" borderId="36" xfId="0" applyFont="1" applyFill="1" applyBorder="1" applyProtection="1">
      <protection locked="0"/>
    </xf>
    <xf numFmtId="0" fontId="3" fillId="2" borderId="22" xfId="0" applyFont="1" applyFill="1" applyBorder="1" applyProtection="1">
      <protection locked="0"/>
    </xf>
    <xf numFmtId="0" fontId="43" fillId="2" borderId="9" xfId="0" applyFont="1" applyFill="1" applyBorder="1" applyAlignment="1" applyProtection="1">
      <alignment horizontal="left"/>
      <protection locked="0"/>
    </xf>
    <xf numFmtId="0" fontId="3" fillId="2" borderId="22" xfId="0" applyFont="1" applyFill="1" applyBorder="1" applyAlignment="1" applyProtection="1">
      <alignment horizontal="left"/>
      <protection locked="0"/>
    </xf>
    <xf numFmtId="0" fontId="25" fillId="0" borderId="0" xfId="4" applyFont="1" applyProtection="1">
      <protection locked="0"/>
    </xf>
    <xf numFmtId="41" fontId="4" fillId="0" borderId="0" xfId="0" applyNumberFormat="1" applyFont="1" applyProtection="1">
      <protection locked="0"/>
    </xf>
    <xf numFmtId="43" fontId="4" fillId="0" borderId="0" xfId="0" applyNumberFormat="1" applyFont="1" applyProtection="1">
      <protection locked="0"/>
    </xf>
    <xf numFmtId="0" fontId="45" fillId="2" borderId="36" xfId="0" applyFont="1" applyFill="1" applyBorder="1" applyAlignment="1" applyProtection="1">
      <alignment horizontal="left"/>
      <protection locked="0"/>
    </xf>
    <xf numFmtId="0" fontId="3" fillId="2" borderId="38" xfId="0" applyFont="1" applyFill="1" applyBorder="1" applyAlignment="1" applyProtection="1">
      <alignment horizontal="left"/>
      <protection locked="0"/>
    </xf>
    <xf numFmtId="0" fontId="3" fillId="2" borderId="1" xfId="0" applyFont="1" applyFill="1" applyBorder="1" applyAlignment="1" applyProtection="1">
      <alignment horizontal="left"/>
      <protection locked="0"/>
    </xf>
    <xf numFmtId="166" fontId="4" fillId="0" borderId="0" xfId="0" applyNumberFormat="1" applyFont="1" applyProtection="1">
      <protection locked="0"/>
    </xf>
    <xf numFmtId="166" fontId="5" fillId="3" borderId="22" xfId="2" applyNumberFormat="1" applyFont="1" applyFill="1" applyBorder="1" applyAlignment="1" applyProtection="1">
      <alignment horizontal="center" vertical="center"/>
      <protection locked="0"/>
    </xf>
    <xf numFmtId="166" fontId="5" fillId="3" borderId="1" xfId="2" applyNumberFormat="1" applyFont="1" applyFill="1" applyBorder="1" applyAlignment="1" applyProtection="1">
      <alignment horizontal="center" vertical="center"/>
      <protection locked="0"/>
    </xf>
    <xf numFmtId="0" fontId="0" fillId="0" borderId="0" xfId="0" applyProtection="1">
      <protection locked="0"/>
    </xf>
    <xf numFmtId="0" fontId="4" fillId="2" borderId="36" xfId="0" applyFont="1" applyFill="1" applyBorder="1" applyProtection="1">
      <protection locked="0"/>
    </xf>
    <xf numFmtId="0" fontId="5" fillId="2" borderId="22" xfId="0" applyFont="1" applyFill="1" applyBorder="1" applyProtection="1">
      <protection locked="0"/>
    </xf>
    <xf numFmtId="0" fontId="5" fillId="4" borderId="1" xfId="0" applyFont="1" applyFill="1" applyBorder="1" applyAlignment="1" applyProtection="1">
      <alignment horizontal="right"/>
      <protection locked="0"/>
    </xf>
    <xf numFmtId="166" fontId="5" fillId="0" borderId="1" xfId="2" applyNumberFormat="1" applyFont="1" applyFill="1" applyBorder="1" applyAlignment="1" applyProtection="1">
      <alignment horizontal="center" vertical="center"/>
      <protection locked="0"/>
    </xf>
    <xf numFmtId="0" fontId="35" fillId="4" borderId="1" xfId="0" applyFont="1" applyFill="1" applyBorder="1" applyAlignment="1" applyProtection="1">
      <alignment horizontal="right"/>
      <protection locked="0"/>
    </xf>
    <xf numFmtId="166" fontId="19" fillId="0" borderId="0" xfId="2" applyNumberFormat="1" applyFont="1" applyFill="1" applyBorder="1" applyAlignment="1" applyProtection="1">
      <alignment horizontal="center" vertical="center"/>
      <protection locked="0"/>
    </xf>
    <xf numFmtId="166" fontId="5" fillId="0" borderId="0" xfId="2" applyNumberFormat="1" applyFont="1" applyFill="1" applyBorder="1" applyAlignment="1" applyProtection="1">
      <alignment horizontal="center" vertical="center"/>
      <protection locked="0"/>
    </xf>
    <xf numFmtId="9" fontId="5" fillId="3" borderId="1" xfId="3" applyFont="1" applyFill="1" applyBorder="1" applyAlignment="1" applyProtection="1">
      <alignment horizontal="center"/>
      <protection locked="0"/>
    </xf>
    <xf numFmtId="0" fontId="7" fillId="0" borderId="0" xfId="0" applyFont="1" applyAlignment="1" applyProtection="1">
      <alignment horizontal="right"/>
      <protection locked="0"/>
    </xf>
    <xf numFmtId="166" fontId="5" fillId="4" borderId="1" xfId="2" applyNumberFormat="1" applyFont="1" applyFill="1" applyBorder="1" applyProtection="1">
      <protection locked="0"/>
    </xf>
    <xf numFmtId="0" fontId="4" fillId="0" borderId="9" xfId="0" applyFont="1" applyBorder="1" applyAlignment="1" applyProtection="1">
      <alignment horizontal="left"/>
      <protection locked="0"/>
    </xf>
    <xf numFmtId="0" fontId="4" fillId="0" borderId="22" xfId="0" applyFont="1" applyBorder="1" applyAlignment="1" applyProtection="1">
      <alignment horizontal="left"/>
      <protection locked="0"/>
    </xf>
    <xf numFmtId="0" fontId="4" fillId="0" borderId="36" xfId="0" applyFont="1" applyBorder="1" applyAlignment="1" applyProtection="1">
      <alignment horizontal="left"/>
      <protection locked="0"/>
    </xf>
    <xf numFmtId="0" fontId="4" fillId="0" borderId="38" xfId="0" applyFont="1" applyBorder="1" applyAlignment="1" applyProtection="1">
      <alignment horizontal="left"/>
      <protection locked="0"/>
    </xf>
    <xf numFmtId="0" fontId="4" fillId="0" borderId="7" xfId="0" applyFont="1" applyBorder="1" applyAlignment="1" applyProtection="1">
      <alignment horizontal="left"/>
      <protection locked="0"/>
    </xf>
    <xf numFmtId="0" fontId="4" fillId="0" borderId="1" xfId="0" applyFont="1" applyBorder="1" applyAlignment="1" applyProtection="1">
      <alignment horizontal="center"/>
      <protection locked="0"/>
    </xf>
    <xf numFmtId="9" fontId="5" fillId="3" borderId="1" xfId="3" applyFont="1" applyFill="1" applyBorder="1" applyAlignment="1" applyProtection="1">
      <alignment horizontal="center" vertical="center" wrapText="1"/>
    </xf>
    <xf numFmtId="166" fontId="4" fillId="0" borderId="1" xfId="2" applyNumberFormat="1" applyFont="1" applyFill="1" applyBorder="1" applyProtection="1">
      <protection locked="0"/>
    </xf>
    <xf numFmtId="0" fontId="5" fillId="12" borderId="21" xfId="0" applyFont="1" applyFill="1" applyBorder="1" applyAlignment="1" applyProtection="1">
      <alignment horizontal="center"/>
      <protection locked="0"/>
    </xf>
    <xf numFmtId="0" fontId="0" fillId="2" borderId="0" xfId="0" applyFill="1" applyProtection="1">
      <protection locked="0"/>
    </xf>
    <xf numFmtId="43" fontId="4" fillId="2" borderId="0" xfId="1" applyFont="1" applyFill="1" applyBorder="1" applyProtection="1">
      <protection locked="0"/>
    </xf>
    <xf numFmtId="43" fontId="5" fillId="2" borderId="19" xfId="1" applyFont="1" applyFill="1" applyBorder="1" applyAlignment="1" applyProtection="1">
      <alignment horizontal="center" vertical="center"/>
      <protection locked="0"/>
    </xf>
    <xf numFmtId="0" fontId="4" fillId="0" borderId="13" xfId="0" applyFont="1" applyBorder="1" applyProtection="1">
      <protection locked="0"/>
    </xf>
    <xf numFmtId="0" fontId="4" fillId="0" borderId="40" xfId="0" applyFont="1" applyBorder="1" applyProtection="1">
      <protection locked="0"/>
    </xf>
    <xf numFmtId="0" fontId="5" fillId="0" borderId="41" xfId="0" applyFont="1" applyBorder="1" applyProtection="1">
      <protection locked="0"/>
    </xf>
    <xf numFmtId="0" fontId="0" fillId="2" borderId="1" xfId="0" applyFill="1" applyBorder="1" applyProtection="1">
      <protection locked="0"/>
    </xf>
    <xf numFmtId="0" fontId="5" fillId="5" borderId="1" xfId="0" applyFont="1" applyFill="1" applyBorder="1" applyAlignment="1" applyProtection="1">
      <alignment horizontal="center"/>
      <protection locked="0"/>
    </xf>
    <xf numFmtId="0" fontId="5" fillId="5" borderId="1" xfId="0" applyFont="1" applyFill="1" applyBorder="1" applyAlignment="1" applyProtection="1">
      <alignment horizontal="center" vertical="center" wrapText="1"/>
      <protection locked="0"/>
    </xf>
    <xf numFmtId="0" fontId="4" fillId="0" borderId="13" xfId="0" applyFont="1" applyBorder="1" applyAlignment="1" applyProtection="1">
      <alignment horizontal="left"/>
      <protection locked="0"/>
    </xf>
    <xf numFmtId="0" fontId="4" fillId="0" borderId="39" xfId="0" applyFont="1" applyBorder="1" applyProtection="1">
      <protection locked="0"/>
    </xf>
    <xf numFmtId="41" fontId="18" fillId="0" borderId="44" xfId="2" applyNumberFormat="1" applyFont="1" applyFill="1" applyBorder="1" applyAlignment="1" applyProtection="1">
      <alignment horizontal="center" vertical="center"/>
      <protection locked="0"/>
    </xf>
    <xf numFmtId="0" fontId="4" fillId="3" borderId="13" xfId="0" applyFont="1" applyFill="1" applyBorder="1" applyProtection="1">
      <protection locked="0"/>
    </xf>
    <xf numFmtId="0" fontId="3" fillId="2" borderId="44" xfId="0" applyFont="1" applyFill="1" applyBorder="1" applyProtection="1">
      <protection locked="0"/>
    </xf>
    <xf numFmtId="0" fontId="43" fillId="2" borderId="39" xfId="0" applyFont="1" applyFill="1" applyBorder="1" applyAlignment="1" applyProtection="1">
      <alignment horizontal="left"/>
      <protection locked="0"/>
    </xf>
    <xf numFmtId="0" fontId="3" fillId="2" borderId="44" xfId="0" applyFont="1" applyFill="1" applyBorder="1" applyAlignment="1" applyProtection="1">
      <alignment horizontal="left"/>
      <protection locked="0"/>
    </xf>
    <xf numFmtId="166" fontId="5" fillId="3" borderId="14" xfId="2" applyNumberFormat="1" applyFont="1" applyFill="1" applyBorder="1" applyAlignment="1" applyProtection="1">
      <alignment horizontal="center" vertical="center"/>
      <protection locked="0"/>
    </xf>
    <xf numFmtId="0" fontId="5" fillId="2" borderId="44" xfId="0" applyFont="1" applyFill="1" applyBorder="1" applyProtection="1">
      <protection locked="0"/>
    </xf>
    <xf numFmtId="0" fontId="4" fillId="0" borderId="1" xfId="0" applyFont="1" applyBorder="1" applyAlignment="1" applyProtection="1">
      <alignment horizontal="right"/>
      <protection locked="0"/>
    </xf>
    <xf numFmtId="166" fontId="5" fillId="0" borderId="14" xfId="2" applyNumberFormat="1" applyFont="1" applyFill="1" applyBorder="1" applyAlignment="1" applyProtection="1">
      <alignment horizontal="center" vertical="center"/>
      <protection locked="0"/>
    </xf>
    <xf numFmtId="0" fontId="26" fillId="0" borderId="1" xfId="0" applyFont="1" applyBorder="1" applyAlignment="1" applyProtection="1">
      <alignment horizontal="right"/>
      <protection locked="0"/>
    </xf>
    <xf numFmtId="166" fontId="5" fillId="0" borderId="41" xfId="2" applyNumberFormat="1" applyFont="1" applyFill="1" applyBorder="1" applyAlignment="1" applyProtection="1">
      <alignment horizontal="center" vertical="center"/>
      <protection locked="0"/>
    </xf>
    <xf numFmtId="0" fontId="43" fillId="3" borderId="39" xfId="0" applyFont="1" applyFill="1" applyBorder="1" applyAlignment="1" applyProtection="1">
      <alignment horizontal="left"/>
      <protection locked="0"/>
    </xf>
    <xf numFmtId="0" fontId="43" fillId="3" borderId="36" xfId="0" applyFont="1" applyFill="1" applyBorder="1" applyAlignment="1" applyProtection="1">
      <alignment horizontal="left"/>
      <protection locked="0"/>
    </xf>
    <xf numFmtId="0" fontId="5" fillId="3" borderId="9" xfId="0" applyFont="1" applyFill="1" applyBorder="1" applyAlignment="1" applyProtection="1">
      <alignment horizontal="left"/>
      <protection locked="0"/>
    </xf>
    <xf numFmtId="0" fontId="5" fillId="3" borderId="36" xfId="0" applyFont="1" applyFill="1" applyBorder="1" applyAlignment="1" applyProtection="1">
      <alignment horizontal="left"/>
      <protection locked="0"/>
    </xf>
    <xf numFmtId="0" fontId="43" fillId="3" borderId="40" xfId="0" applyFont="1" applyFill="1" applyBorder="1" applyProtection="1">
      <protection locked="0"/>
    </xf>
    <xf numFmtId="0" fontId="4" fillId="3" borderId="0" xfId="0" applyFont="1" applyFill="1" applyProtection="1">
      <protection locked="0"/>
    </xf>
    <xf numFmtId="166" fontId="5" fillId="3" borderId="1" xfId="2" applyNumberFormat="1" applyFont="1" applyFill="1" applyBorder="1" applyProtection="1">
      <protection locked="0"/>
    </xf>
    <xf numFmtId="0" fontId="6" fillId="0" borderId="0" xfId="0" applyFont="1" applyProtection="1">
      <protection locked="0"/>
    </xf>
    <xf numFmtId="0" fontId="42" fillId="0" borderId="0" xfId="0" applyFont="1" applyProtection="1">
      <protection locked="0"/>
    </xf>
    <xf numFmtId="0" fontId="45" fillId="2" borderId="39" xfId="0" applyFont="1" applyFill="1" applyBorder="1" applyAlignment="1" applyProtection="1">
      <alignment horizontal="left"/>
      <protection locked="0"/>
    </xf>
    <xf numFmtId="0" fontId="4" fillId="3" borderId="36" xfId="0" applyFont="1" applyFill="1" applyBorder="1" applyProtection="1">
      <protection locked="0"/>
    </xf>
    <xf numFmtId="166" fontId="4" fillId="0" borderId="17" xfId="2" applyNumberFormat="1" applyFont="1" applyFill="1" applyBorder="1" applyProtection="1">
      <protection locked="0"/>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164" fontId="9" fillId="0" borderId="1" xfId="3" applyNumberFormat="1" applyFont="1" applyFill="1" applyBorder="1" applyAlignment="1" applyProtection="1">
      <alignment horizontal="center"/>
    </xf>
    <xf numFmtId="164" fontId="17" fillId="0" borderId="1" xfId="3" applyNumberFormat="1" applyFont="1" applyFill="1" applyBorder="1" applyAlignment="1" applyProtection="1">
      <alignment horizontal="center"/>
    </xf>
    <xf numFmtId="0" fontId="5" fillId="5" borderId="36" xfId="0" applyFont="1" applyFill="1" applyBorder="1"/>
    <xf numFmtId="0" fontId="5" fillId="5" borderId="22" xfId="0" applyFont="1" applyFill="1" applyBorder="1"/>
    <xf numFmtId="44" fontId="4" fillId="4" borderId="1" xfId="2" applyFont="1" applyFill="1" applyBorder="1" applyProtection="1">
      <protection locked="0"/>
    </xf>
    <xf numFmtId="166" fontId="4" fillId="5" borderId="1" xfId="2" applyNumberFormat="1" applyFont="1" applyFill="1" applyBorder="1" applyProtection="1">
      <protection locked="0"/>
    </xf>
    <xf numFmtId="0" fontId="5" fillId="4" borderId="1" xfId="0" applyFont="1" applyFill="1" applyBorder="1" applyAlignment="1">
      <alignment horizontal="center" vertical="center" wrapText="1"/>
    </xf>
    <xf numFmtId="166" fontId="4" fillId="5" borderId="11" xfId="2" applyNumberFormat="1" applyFont="1" applyFill="1" applyBorder="1" applyProtection="1">
      <protection locked="0"/>
    </xf>
    <xf numFmtId="166" fontId="4" fillId="5" borderId="12" xfId="2" applyNumberFormat="1" applyFont="1" applyFill="1" applyBorder="1" applyProtection="1">
      <protection locked="0"/>
    </xf>
    <xf numFmtId="166" fontId="4" fillId="5" borderId="14" xfId="2" applyNumberFormat="1" applyFont="1" applyFill="1" applyBorder="1" applyProtection="1">
      <protection locked="0"/>
    </xf>
    <xf numFmtId="166" fontId="5" fillId="3" borderId="14" xfId="2" applyNumberFormat="1" applyFont="1" applyFill="1" applyBorder="1" applyProtection="1">
      <protection locked="0"/>
    </xf>
    <xf numFmtId="166" fontId="4" fillId="0" borderId="16" xfId="2" applyNumberFormat="1" applyFont="1" applyBorder="1" applyProtection="1">
      <protection locked="0"/>
    </xf>
    <xf numFmtId="166" fontId="4" fillId="0" borderId="17" xfId="2" applyNumberFormat="1" applyFont="1" applyBorder="1" applyProtection="1">
      <protection locked="0"/>
    </xf>
    <xf numFmtId="41" fontId="27" fillId="5" borderId="1" xfId="1" applyNumberFormat="1" applyFont="1" applyFill="1" applyBorder="1" applyAlignment="1" applyProtection="1">
      <alignment horizontal="center" vertical="center"/>
    </xf>
    <xf numFmtId="171" fontId="11" fillId="0" borderId="4" xfId="0" applyNumberFormat="1" applyFont="1" applyBorder="1" applyAlignment="1" applyProtection="1">
      <alignment horizontal="right"/>
      <protection locked="0"/>
    </xf>
    <xf numFmtId="0" fontId="12" fillId="0" borderId="0" xfId="0" applyFont="1" applyProtection="1">
      <protection locked="0"/>
    </xf>
    <xf numFmtId="0" fontId="4" fillId="0" borderId="0" xfId="0" applyFont="1" applyAlignment="1" applyProtection="1">
      <alignment wrapText="1"/>
      <protection locked="0"/>
    </xf>
    <xf numFmtId="0" fontId="11" fillId="0" borderId="0" xfId="0" applyFont="1" applyAlignment="1" applyProtection="1">
      <alignment horizontal="left" indent="1"/>
      <protection locked="0"/>
    </xf>
    <xf numFmtId="0" fontId="11" fillId="0" borderId="48" xfId="0" applyFont="1" applyBorder="1" applyAlignment="1" applyProtection="1">
      <alignment horizontal="left" vertical="center"/>
      <protection locked="0"/>
    </xf>
    <xf numFmtId="0" fontId="11" fillId="0" borderId="46" xfId="0" applyFont="1" applyBorder="1" applyAlignment="1" applyProtection="1">
      <alignment horizontal="center" vertical="center"/>
      <protection locked="0"/>
    </xf>
    <xf numFmtId="0" fontId="11" fillId="0" borderId="46" xfId="0" applyFont="1" applyBorder="1" applyAlignment="1" applyProtection="1">
      <alignment horizontal="center"/>
      <protection locked="0"/>
    </xf>
    <xf numFmtId="0" fontId="11" fillId="0" borderId="47"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11" fillId="0" borderId="31" xfId="0" applyFont="1" applyBorder="1" applyAlignment="1" applyProtection="1">
      <alignment horizontal="right" vertical="center"/>
      <protection locked="0"/>
    </xf>
    <xf numFmtId="170" fontId="11" fillId="0" borderId="31" xfId="0" applyNumberFormat="1" applyFont="1" applyBorder="1" applyAlignment="1" applyProtection="1">
      <alignment horizontal="center" vertical="top"/>
      <protection locked="0"/>
    </xf>
    <xf numFmtId="0" fontId="11" fillId="0" borderId="31" xfId="0" applyFont="1" applyBorder="1" applyAlignment="1" applyProtection="1">
      <alignment horizontal="center" vertical="top"/>
      <protection locked="0"/>
    </xf>
    <xf numFmtId="0" fontId="11" fillId="0" borderId="54" xfId="0" applyFont="1" applyBorder="1" applyAlignment="1" applyProtection="1">
      <alignment horizontal="center" vertical="center"/>
      <protection locked="0"/>
    </xf>
    <xf numFmtId="0" fontId="11" fillId="0" borderId="0" xfId="0" applyFont="1" applyAlignment="1" applyProtection="1">
      <alignment horizontal="center"/>
      <protection locked="0"/>
    </xf>
    <xf numFmtId="0" fontId="11" fillId="0" borderId="48" xfId="0" applyFont="1" applyBorder="1" applyAlignment="1" applyProtection="1">
      <alignment horizontal="left"/>
      <protection locked="0"/>
    </xf>
    <xf numFmtId="0" fontId="11" fillId="0" borderId="46" xfId="0" applyFont="1" applyBorder="1" applyAlignment="1" applyProtection="1">
      <alignment horizontal="left"/>
      <protection locked="0"/>
    </xf>
    <xf numFmtId="0" fontId="11" fillId="0" borderId="52" xfId="0" applyFont="1" applyBorder="1" applyAlignment="1" applyProtection="1">
      <alignment horizontal="left" indent="1"/>
      <protection locked="0"/>
    </xf>
    <xf numFmtId="14" fontId="11" fillId="0" borderId="55" xfId="0" applyNumberFormat="1" applyFont="1" applyBorder="1" applyAlignment="1" applyProtection="1">
      <alignment horizontal="center"/>
      <protection locked="0"/>
    </xf>
    <xf numFmtId="14" fontId="11" fillId="0" borderId="56" xfId="0" applyNumberFormat="1" applyFont="1" applyBorder="1" applyAlignment="1" applyProtection="1">
      <alignment horizontal="center"/>
      <protection locked="0"/>
    </xf>
    <xf numFmtId="0" fontId="11" fillId="0" borderId="40" xfId="0" applyFont="1" applyBorder="1" applyAlignment="1" applyProtection="1">
      <alignment horizontal="left"/>
      <protection locked="0"/>
    </xf>
    <xf numFmtId="0" fontId="11" fillId="0" borderId="0" xfId="0" applyFont="1" applyAlignment="1" applyProtection="1">
      <alignment horizontal="left"/>
      <protection locked="0"/>
    </xf>
    <xf numFmtId="0" fontId="11" fillId="0" borderId="2" xfId="0" applyFont="1" applyBorder="1" applyAlignment="1" applyProtection="1">
      <alignment horizontal="left" indent="1"/>
      <protection locked="0"/>
    </xf>
    <xf numFmtId="14" fontId="11" fillId="0" borderId="35" xfId="0" applyNumberFormat="1" applyFont="1" applyBorder="1" applyAlignment="1" applyProtection="1">
      <alignment horizontal="center"/>
      <protection locked="0"/>
    </xf>
    <xf numFmtId="14" fontId="11" fillId="0" borderId="57" xfId="0" applyNumberFormat="1" applyFont="1" applyBorder="1" applyAlignment="1" applyProtection="1">
      <alignment horizontal="center"/>
      <protection locked="0"/>
    </xf>
    <xf numFmtId="0" fontId="11" fillId="0" borderId="58" xfId="0" applyFont="1" applyBorder="1" applyProtection="1">
      <protection locked="0"/>
    </xf>
    <xf numFmtId="0" fontId="12" fillId="0" borderId="37" xfId="0" applyFont="1" applyBorder="1" applyProtection="1">
      <protection locked="0"/>
    </xf>
    <xf numFmtId="0" fontId="11" fillId="0" borderId="4" xfId="0" applyFont="1" applyBorder="1" applyAlignment="1" applyProtection="1">
      <alignment horizontal="center"/>
      <protection locked="0"/>
    </xf>
    <xf numFmtId="0" fontId="11" fillId="0" borderId="19" xfId="0" applyFont="1" applyBorder="1" applyAlignment="1" applyProtection="1">
      <alignment horizontal="center"/>
      <protection locked="0"/>
    </xf>
    <xf numFmtId="0" fontId="12" fillId="0" borderId="39" xfId="0" applyFont="1" applyBorder="1" applyProtection="1">
      <protection locked="0"/>
    </xf>
    <xf numFmtId="0" fontId="12" fillId="0" borderId="36" xfId="0" applyFont="1" applyBorder="1" applyProtection="1">
      <protection locked="0"/>
    </xf>
    <xf numFmtId="171" fontId="12" fillId="0" borderId="1" xfId="0" applyNumberFormat="1" applyFont="1" applyBorder="1" applyAlignment="1" applyProtection="1">
      <alignment horizontal="center"/>
      <protection locked="0"/>
    </xf>
    <xf numFmtId="171" fontId="12" fillId="0" borderId="14" xfId="0" applyNumberFormat="1" applyFont="1" applyBorder="1" applyAlignment="1" applyProtection="1">
      <alignment horizontal="center"/>
      <protection locked="0"/>
    </xf>
    <xf numFmtId="0" fontId="12" fillId="0" borderId="36" xfId="0" applyFont="1" applyBorder="1" applyAlignment="1" applyProtection="1">
      <alignment vertical="top"/>
      <protection locked="0"/>
    </xf>
    <xf numFmtId="0" fontId="48" fillId="0" borderId="36" xfId="0" applyFont="1" applyBorder="1" applyAlignment="1" applyProtection="1">
      <alignment horizontal="center"/>
      <protection locked="0"/>
    </xf>
    <xf numFmtId="0" fontId="12" fillId="0" borderId="38" xfId="0" applyFont="1" applyBorder="1" applyProtection="1">
      <protection locked="0"/>
    </xf>
    <xf numFmtId="0" fontId="48" fillId="0" borderId="38" xfId="0" applyFont="1" applyBorder="1" applyAlignment="1" applyProtection="1">
      <alignment horizontal="center"/>
      <protection locked="0"/>
    </xf>
    <xf numFmtId="0" fontId="12" fillId="0" borderId="50" xfId="0" applyFont="1" applyBorder="1" applyProtection="1">
      <protection locked="0"/>
    </xf>
    <xf numFmtId="0" fontId="11" fillId="0" borderId="42" xfId="0" applyFont="1" applyBorder="1" applyProtection="1">
      <protection locked="0"/>
    </xf>
    <xf numFmtId="0" fontId="11" fillId="0" borderId="43" xfId="0" applyFont="1" applyBorder="1" applyProtection="1">
      <protection locked="0"/>
    </xf>
    <xf numFmtId="0" fontId="11" fillId="0" borderId="48" xfId="0" applyFont="1" applyBorder="1" applyProtection="1">
      <protection locked="0"/>
    </xf>
    <xf numFmtId="0" fontId="12" fillId="0" borderId="46" xfId="0" applyFont="1" applyBorder="1" applyProtection="1">
      <protection locked="0"/>
    </xf>
    <xf numFmtId="10" fontId="49" fillId="0" borderId="46" xfId="0" applyNumberFormat="1" applyFont="1" applyBorder="1" applyProtection="1">
      <protection locked="0"/>
    </xf>
    <xf numFmtId="10" fontId="48" fillId="0" borderId="0" xfId="0" applyNumberFormat="1" applyFont="1" applyAlignment="1" applyProtection="1">
      <alignment horizontal="center" vertical="top"/>
      <protection locked="0"/>
    </xf>
    <xf numFmtId="0" fontId="11" fillId="0" borderId="40" xfId="0" applyFont="1" applyBorder="1" applyAlignment="1" applyProtection="1">
      <alignment vertical="top"/>
      <protection locked="0"/>
    </xf>
    <xf numFmtId="8" fontId="12" fillId="0" borderId="0" xfId="0" applyNumberFormat="1" applyFont="1" applyProtection="1">
      <protection locked="0"/>
    </xf>
    <xf numFmtId="0" fontId="11" fillId="0" borderId="29" xfId="0" applyFont="1" applyBorder="1" applyAlignment="1" applyProtection="1">
      <alignment vertical="center" wrapText="1"/>
      <protection locked="0"/>
    </xf>
    <xf numFmtId="0" fontId="12" fillId="0" borderId="29" xfId="0" applyFont="1" applyBorder="1" applyAlignment="1" applyProtection="1">
      <alignment vertical="center" wrapText="1"/>
      <protection locked="0"/>
    </xf>
    <xf numFmtId="172" fontId="11" fillId="0" borderId="29" xfId="0" applyNumberFormat="1" applyFont="1" applyBorder="1" applyAlignment="1" applyProtection="1">
      <alignment vertical="center"/>
      <protection locked="0"/>
    </xf>
    <xf numFmtId="172" fontId="11" fillId="0" borderId="29" xfId="0" applyNumberFormat="1" applyFont="1" applyBorder="1" applyAlignment="1" applyProtection="1">
      <alignment horizontal="right" vertical="center"/>
      <protection locked="0"/>
    </xf>
    <xf numFmtId="0" fontId="11" fillId="0" borderId="31" xfId="0" applyFont="1" applyBorder="1" applyAlignment="1" applyProtection="1">
      <alignment vertical="center" wrapText="1"/>
      <protection locked="0"/>
    </xf>
    <xf numFmtId="0" fontId="12" fillId="0" borderId="31" xfId="0" applyFont="1" applyBorder="1" applyAlignment="1" applyProtection="1">
      <alignment vertical="center" wrapText="1"/>
      <protection locked="0"/>
    </xf>
    <xf numFmtId="172" fontId="11" fillId="0" borderId="31" xfId="0" applyNumberFormat="1" applyFont="1" applyBorder="1" applyAlignment="1" applyProtection="1">
      <alignment vertical="center"/>
      <protection locked="0"/>
    </xf>
    <xf numFmtId="172" fontId="11" fillId="0" borderId="31" xfId="0" applyNumberFormat="1" applyFont="1" applyBorder="1" applyAlignment="1" applyProtection="1">
      <alignment horizontal="right" vertical="center"/>
      <protection locked="0"/>
    </xf>
    <xf numFmtId="0" fontId="11" fillId="0" borderId="0" xfId="0" applyFont="1" applyAlignment="1" applyProtection="1">
      <alignment vertical="top"/>
      <protection locked="0"/>
    </xf>
    <xf numFmtId="0" fontId="12" fillId="0" borderId="0" xfId="0" applyFont="1" applyAlignment="1" applyProtection="1">
      <alignment vertical="top"/>
      <protection locked="0"/>
    </xf>
    <xf numFmtId="0" fontId="33" fillId="0" borderId="0" xfId="0" applyFont="1" applyProtection="1">
      <protection locked="0"/>
    </xf>
    <xf numFmtId="170" fontId="11" fillId="0" borderId="0" xfId="0" applyNumberFormat="1" applyFont="1" applyAlignment="1" applyProtection="1">
      <alignment horizontal="center" vertical="top"/>
      <protection locked="0"/>
    </xf>
    <xf numFmtId="10" fontId="11" fillId="0" borderId="0" xfId="0" applyNumberFormat="1" applyFont="1" applyAlignment="1" applyProtection="1">
      <alignment horizontal="center" vertical="top"/>
      <protection locked="0"/>
    </xf>
    <xf numFmtId="171" fontId="16" fillId="0" borderId="0" xfId="0" applyNumberFormat="1" applyFont="1" applyAlignment="1" applyProtection="1">
      <alignment horizontal="center"/>
      <protection locked="0"/>
    </xf>
    <xf numFmtId="0" fontId="51" fillId="0" borderId="0" xfId="0" applyFont="1" applyAlignment="1" applyProtection="1">
      <alignment vertical="top"/>
      <protection locked="0"/>
    </xf>
    <xf numFmtId="0" fontId="16" fillId="0" borderId="0" xfId="0" applyFont="1" applyProtection="1">
      <protection locked="0"/>
    </xf>
    <xf numFmtId="0" fontId="48" fillId="0" borderId="36" xfId="0" applyFont="1" applyBorder="1" applyAlignment="1" applyProtection="1">
      <alignment horizontal="center" vertical="top" wrapText="1"/>
      <protection locked="0"/>
    </xf>
    <xf numFmtId="0" fontId="50" fillId="0" borderId="0" xfId="0" applyFont="1" applyAlignment="1" applyProtection="1">
      <alignment horizontal="left" vertical="center"/>
      <protection locked="0"/>
    </xf>
    <xf numFmtId="0" fontId="11" fillId="0" borderId="0" xfId="0" applyFont="1" applyAlignment="1" applyProtection="1">
      <alignment horizontal="right"/>
      <protection locked="0"/>
    </xf>
    <xf numFmtId="0" fontId="55" fillId="0" borderId="0" xfId="0" applyFont="1" applyAlignment="1" applyProtection="1">
      <alignment vertical="center"/>
      <protection locked="0"/>
    </xf>
    <xf numFmtId="0" fontId="55" fillId="0" borderId="0" xfId="0" applyFont="1" applyAlignment="1" applyProtection="1">
      <alignment horizontal="center" vertical="center"/>
      <protection locked="0"/>
    </xf>
    <xf numFmtId="0" fontId="56" fillId="0" borderId="0" xfId="0" applyFont="1" applyAlignment="1" applyProtection="1">
      <alignment vertical="center"/>
      <protection locked="0"/>
    </xf>
    <xf numFmtId="0" fontId="47" fillId="0" borderId="0" xfId="0" applyFont="1" applyProtection="1">
      <protection locked="0"/>
    </xf>
    <xf numFmtId="0" fontId="58" fillId="0" borderId="0" xfId="0" applyFont="1" applyAlignment="1" applyProtection="1">
      <alignment horizontal="right"/>
      <protection locked="0"/>
    </xf>
    <xf numFmtId="0" fontId="48" fillId="0" borderId="0" xfId="0" applyFont="1" applyAlignment="1" applyProtection="1">
      <alignment horizontal="center"/>
      <protection locked="0"/>
    </xf>
    <xf numFmtId="0" fontId="48" fillId="0" borderId="38" xfId="0" applyFont="1" applyBorder="1" applyProtection="1">
      <protection locked="0"/>
    </xf>
    <xf numFmtId="171" fontId="48" fillId="0" borderId="38" xfId="0" applyNumberFormat="1" applyFont="1" applyBorder="1" applyProtection="1">
      <protection locked="0"/>
    </xf>
    <xf numFmtId="0" fontId="12" fillId="0" borderId="0" xfId="0" applyFont="1" applyAlignment="1" applyProtection="1">
      <alignment horizontal="left"/>
      <protection locked="0"/>
    </xf>
    <xf numFmtId="0" fontId="49" fillId="0" borderId="0" xfId="0" applyFont="1" applyAlignment="1" applyProtection="1">
      <alignment horizontal="right"/>
      <protection locked="0"/>
    </xf>
    <xf numFmtId="0" fontId="57" fillId="0" borderId="0" xfId="0" applyFont="1" applyAlignment="1" applyProtection="1">
      <alignment horizontal="right"/>
      <protection locked="0"/>
    </xf>
    <xf numFmtId="0" fontId="57" fillId="0" borderId="0" xfId="0" applyFont="1" applyAlignment="1" applyProtection="1">
      <alignment horizontal="right" vertical="top"/>
      <protection locked="0"/>
    </xf>
    <xf numFmtId="0" fontId="12" fillId="0" borderId="31" xfId="0" applyFont="1" applyBorder="1" applyProtection="1">
      <protection locked="0"/>
    </xf>
    <xf numFmtId="0" fontId="4" fillId="0" borderId="60" xfId="0" applyFont="1" applyBorder="1" applyProtection="1">
      <protection locked="0"/>
    </xf>
    <xf numFmtId="0" fontId="4" fillId="0" borderId="61" xfId="0" applyFont="1" applyBorder="1" applyProtection="1">
      <protection locked="0"/>
    </xf>
    <xf numFmtId="0" fontId="11" fillId="0" borderId="1" xfId="0" applyFont="1" applyBorder="1" applyAlignment="1" applyProtection="1">
      <alignment horizontal="center"/>
      <protection locked="0"/>
    </xf>
    <xf numFmtId="0" fontId="11" fillId="0" borderId="62" xfId="0" applyFont="1" applyBorder="1" applyAlignment="1" applyProtection="1">
      <alignment horizontal="center"/>
      <protection locked="0"/>
    </xf>
    <xf numFmtId="171" fontId="11" fillId="0" borderId="1" xfId="0" applyNumberFormat="1" applyFont="1" applyBorder="1" applyAlignment="1" applyProtection="1">
      <alignment horizontal="right"/>
      <protection locked="0"/>
    </xf>
    <xf numFmtId="171" fontId="11" fillId="0" borderId="44" xfId="0" applyNumberFormat="1" applyFont="1" applyBorder="1" applyAlignment="1" applyProtection="1">
      <alignment horizontal="right"/>
      <protection locked="0"/>
    </xf>
    <xf numFmtId="171" fontId="11" fillId="0" borderId="24" xfId="0" applyNumberFormat="1" applyFont="1" applyBorder="1" applyAlignment="1" applyProtection="1">
      <alignment horizontal="right"/>
      <protection locked="0"/>
    </xf>
    <xf numFmtId="171" fontId="11" fillId="0" borderId="54" xfId="0" applyNumberFormat="1" applyFont="1" applyBorder="1" applyAlignment="1" applyProtection="1">
      <alignment horizontal="right"/>
      <protection locked="0"/>
    </xf>
    <xf numFmtId="0" fontId="11" fillId="0" borderId="9" xfId="0" applyFont="1" applyBorder="1" applyAlignment="1" applyProtection="1">
      <alignment horizontal="left" vertical="center" indent="1"/>
      <protection locked="0"/>
    </xf>
    <xf numFmtId="0" fontId="11" fillId="0" borderId="36" xfId="0" applyFont="1" applyBorder="1" applyAlignment="1" applyProtection="1">
      <alignment vertical="center"/>
      <protection locked="0"/>
    </xf>
    <xf numFmtId="0" fontId="11" fillId="0" borderId="22" xfId="0" applyFont="1" applyBorder="1" applyAlignment="1" applyProtection="1">
      <alignment vertical="center"/>
      <protection locked="0"/>
    </xf>
    <xf numFmtId="0" fontId="11" fillId="0" borderId="0" xfId="0" applyFont="1" applyAlignment="1" applyProtection="1">
      <alignment vertical="center"/>
      <protection locked="0"/>
    </xf>
    <xf numFmtId="44" fontId="7" fillId="0" borderId="1" xfId="2" applyFont="1" applyFill="1" applyBorder="1" applyAlignment="1" applyProtection="1">
      <alignment horizontal="center"/>
      <protection locked="0"/>
    </xf>
    <xf numFmtId="9" fontId="7" fillId="0" borderId="1" xfId="3" applyFont="1" applyFill="1" applyBorder="1" applyAlignment="1" applyProtection="1">
      <alignment horizontal="center"/>
      <protection locked="0"/>
    </xf>
    <xf numFmtId="9" fontId="4" fillId="0" borderId="1" xfId="1" applyNumberFormat="1" applyFont="1" applyFill="1" applyBorder="1" applyAlignment="1" applyProtection="1">
      <alignment horizontal="left"/>
      <protection locked="0"/>
    </xf>
    <xf numFmtId="9" fontId="4" fillId="0" borderId="1" xfId="3" applyFont="1" applyFill="1" applyBorder="1" applyAlignment="1" applyProtection="1">
      <alignment horizontal="center"/>
      <protection locked="0"/>
    </xf>
    <xf numFmtId="164" fontId="4" fillId="0" borderId="1" xfId="3" applyNumberFormat="1" applyFont="1" applyFill="1" applyBorder="1" applyAlignment="1" applyProtection="1">
      <alignment horizontal="center"/>
      <protection locked="0"/>
    </xf>
    <xf numFmtId="41" fontId="12" fillId="0" borderId="36" xfId="0" applyNumberFormat="1" applyFont="1" applyBorder="1" applyProtection="1">
      <protection locked="0"/>
    </xf>
    <xf numFmtId="10" fontId="33" fillId="0" borderId="0" xfId="0" applyNumberFormat="1" applyFont="1" applyAlignment="1" applyProtection="1">
      <alignment horizontal="right"/>
      <protection locked="0"/>
    </xf>
    <xf numFmtId="171" fontId="12" fillId="0" borderId="5" xfId="0" applyNumberFormat="1" applyFont="1" applyBorder="1" applyAlignment="1" applyProtection="1">
      <alignment horizontal="center"/>
      <protection locked="0"/>
    </xf>
    <xf numFmtId="171" fontId="11" fillId="0" borderId="16" xfId="0" applyNumberFormat="1" applyFont="1" applyBorder="1" applyAlignment="1" applyProtection="1">
      <alignment horizontal="center"/>
      <protection locked="0"/>
    </xf>
    <xf numFmtId="171" fontId="11" fillId="0" borderId="17" xfId="0" applyNumberFormat="1" applyFont="1" applyBorder="1" applyAlignment="1" applyProtection="1">
      <alignment horizontal="center"/>
      <protection locked="0"/>
    </xf>
    <xf numFmtId="171" fontId="12" fillId="0" borderId="4" xfId="0" applyNumberFormat="1" applyFont="1" applyBorder="1" applyAlignment="1" applyProtection="1">
      <alignment horizontal="center"/>
      <protection locked="0"/>
    </xf>
    <xf numFmtId="171" fontId="11" fillId="0" borderId="1" xfId="0" applyNumberFormat="1" applyFont="1" applyBorder="1" applyAlignment="1" applyProtection="1">
      <alignment horizontal="center" vertical="top"/>
      <protection locked="0"/>
    </xf>
    <xf numFmtId="10" fontId="11" fillId="0" borderId="1" xfId="3" applyNumberFormat="1" applyFont="1" applyFill="1" applyBorder="1" applyAlignment="1" applyProtection="1">
      <alignment horizontal="center" vertical="top"/>
      <protection locked="0"/>
    </xf>
    <xf numFmtId="171" fontId="54" fillId="0" borderId="1" xfId="0" applyNumberFormat="1" applyFont="1" applyBorder="1" applyAlignment="1" applyProtection="1">
      <alignment horizontal="center" vertical="top"/>
      <protection locked="0"/>
    </xf>
    <xf numFmtId="171" fontId="4" fillId="0" borderId="1" xfId="0" applyNumberFormat="1" applyFont="1" applyBorder="1" applyAlignment="1" applyProtection="1">
      <alignment horizontal="center"/>
      <protection locked="0"/>
    </xf>
    <xf numFmtId="171" fontId="11" fillId="0" borderId="24" xfId="0" applyNumberFormat="1" applyFont="1" applyBorder="1" applyAlignment="1" applyProtection="1">
      <alignment horizontal="center" vertical="center"/>
      <protection locked="0"/>
    </xf>
    <xf numFmtId="171" fontId="11" fillId="0" borderId="59" xfId="0" applyNumberFormat="1" applyFont="1" applyBorder="1" applyAlignment="1" applyProtection="1">
      <alignment horizontal="center" vertical="center"/>
      <protection locked="0"/>
    </xf>
    <xf numFmtId="171" fontId="11" fillId="0" borderId="49" xfId="0" applyNumberFormat="1" applyFont="1" applyBorder="1" applyAlignment="1" applyProtection="1">
      <alignment horizontal="center" vertical="center"/>
      <protection locked="0"/>
    </xf>
    <xf numFmtId="0" fontId="16" fillId="0" borderId="0" xfId="0" applyFont="1" applyAlignment="1" applyProtection="1">
      <alignment wrapText="1"/>
      <protection locked="0"/>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4" fillId="0" borderId="40" xfId="0" applyFont="1" applyBorder="1" applyAlignment="1" applyProtection="1">
      <alignment wrapText="1"/>
      <protection locked="0"/>
    </xf>
    <xf numFmtId="171" fontId="16" fillId="0" borderId="0" xfId="0" applyNumberFormat="1" applyFont="1" applyProtection="1">
      <protection locked="0"/>
    </xf>
    <xf numFmtId="0" fontId="53" fillId="0" borderId="0" xfId="0" applyFont="1" applyProtection="1">
      <protection locked="0"/>
    </xf>
    <xf numFmtId="0" fontId="43" fillId="3" borderId="36" xfId="0" applyFont="1" applyFill="1" applyBorder="1" applyProtection="1">
      <protection locked="0"/>
    </xf>
    <xf numFmtId="166" fontId="4" fillId="0" borderId="1" xfId="2" applyNumberFormat="1" applyFont="1" applyBorder="1" applyAlignment="1" applyProtection="1">
      <alignment horizontal="center" vertical="center"/>
    </xf>
    <xf numFmtId="166" fontId="4" fillId="0" borderId="1" xfId="2" applyNumberFormat="1" applyFont="1" applyFill="1" applyBorder="1" applyAlignment="1" applyProtection="1">
      <alignment horizontal="center" vertical="center"/>
    </xf>
    <xf numFmtId="166" fontId="5" fillId="0" borderId="1" xfId="2" applyNumberFormat="1" applyFont="1" applyFill="1" applyBorder="1" applyAlignment="1" applyProtection="1">
      <alignment horizontal="center" vertical="center"/>
    </xf>
    <xf numFmtId="166" fontId="4" fillId="5" borderId="1" xfId="2" applyNumberFormat="1" applyFont="1" applyFill="1" applyBorder="1" applyAlignment="1" applyProtection="1">
      <alignment horizontal="center" vertical="center"/>
      <protection locked="0"/>
    </xf>
    <xf numFmtId="166" fontId="4" fillId="5" borderId="9" xfId="2" applyNumberFormat="1" applyFont="1" applyFill="1" applyBorder="1" applyAlignment="1" applyProtection="1">
      <alignment horizontal="center" vertical="center"/>
      <protection locked="0"/>
    </xf>
    <xf numFmtId="166" fontId="5" fillId="5" borderId="1" xfId="2" applyNumberFormat="1" applyFont="1" applyFill="1" applyBorder="1" applyAlignment="1" applyProtection="1">
      <alignment horizontal="center" vertical="center"/>
      <protection locked="0"/>
    </xf>
    <xf numFmtId="166" fontId="4" fillId="0" borderId="1" xfId="2" applyNumberFormat="1" applyFont="1" applyFill="1" applyBorder="1" applyAlignment="1" applyProtection="1">
      <alignment horizontal="center" vertical="center"/>
      <protection locked="0"/>
    </xf>
    <xf numFmtId="166" fontId="5" fillId="5" borderId="22" xfId="2" applyNumberFormat="1" applyFont="1" applyFill="1" applyBorder="1" applyAlignment="1" applyProtection="1">
      <alignment horizontal="center" vertical="center"/>
      <protection locked="0"/>
    </xf>
    <xf numFmtId="166" fontId="3" fillId="2" borderId="1" xfId="2" applyNumberFormat="1" applyFont="1" applyFill="1" applyBorder="1" applyAlignment="1" applyProtection="1">
      <alignment horizontal="left"/>
      <protection locked="0"/>
    </xf>
    <xf numFmtId="166" fontId="35" fillId="0" borderId="1" xfId="2" applyNumberFormat="1" applyFont="1" applyFill="1" applyBorder="1" applyAlignment="1" applyProtection="1">
      <alignment horizontal="center" vertical="center"/>
      <protection locked="0"/>
    </xf>
    <xf numFmtId="166" fontId="36" fillId="5" borderId="1" xfId="2" applyNumberFormat="1" applyFont="1" applyFill="1" applyBorder="1" applyAlignment="1" applyProtection="1">
      <alignment horizontal="center" vertical="center"/>
    </xf>
    <xf numFmtId="166" fontId="5" fillId="0" borderId="14" xfId="2" applyNumberFormat="1" applyFont="1" applyFill="1" applyBorder="1" applyAlignment="1" applyProtection="1">
      <alignment horizontal="center" vertical="center"/>
    </xf>
    <xf numFmtId="166" fontId="5" fillId="5" borderId="14" xfId="2" applyNumberFormat="1" applyFont="1" applyFill="1" applyBorder="1" applyAlignment="1" applyProtection="1">
      <alignment horizontal="center" vertical="center"/>
    </xf>
    <xf numFmtId="166" fontId="5" fillId="3" borderId="14" xfId="2" applyNumberFormat="1" applyFont="1" applyFill="1" applyBorder="1" applyAlignment="1" applyProtection="1">
      <alignment horizontal="center" vertical="center"/>
    </xf>
    <xf numFmtId="166" fontId="5" fillId="5" borderId="14" xfId="2" applyNumberFormat="1" applyFont="1" applyFill="1" applyBorder="1" applyAlignment="1" applyProtection="1">
      <alignment horizontal="center" vertical="center"/>
      <protection locked="0"/>
    </xf>
    <xf numFmtId="166" fontId="5" fillId="5" borderId="22" xfId="2" applyNumberFormat="1" applyFont="1" applyFill="1" applyBorder="1" applyAlignment="1" applyProtection="1">
      <alignment horizontal="center" vertical="center"/>
    </xf>
    <xf numFmtId="166" fontId="5" fillId="5" borderId="1" xfId="2" applyNumberFormat="1" applyFont="1" applyFill="1" applyBorder="1" applyAlignment="1" applyProtection="1">
      <alignment horizontal="center" vertical="center"/>
    </xf>
    <xf numFmtId="166" fontId="5" fillId="3" borderId="22" xfId="2" applyNumberFormat="1" applyFont="1" applyFill="1" applyBorder="1" applyAlignment="1" applyProtection="1">
      <alignment horizontal="center" vertical="center"/>
    </xf>
    <xf numFmtId="166" fontId="5" fillId="3" borderId="1" xfId="2" applyNumberFormat="1" applyFont="1" applyFill="1" applyBorder="1" applyAlignment="1" applyProtection="1">
      <alignment horizontal="center" vertical="center"/>
    </xf>
    <xf numFmtId="166" fontId="4" fillId="5" borderId="1" xfId="2" applyNumberFormat="1" applyFont="1" applyFill="1" applyBorder="1" applyAlignment="1" applyProtection="1">
      <alignment horizontal="center" vertical="center"/>
    </xf>
    <xf numFmtId="166" fontId="4" fillId="5" borderId="9" xfId="2" applyNumberFormat="1" applyFont="1" applyFill="1" applyBorder="1" applyAlignment="1" applyProtection="1">
      <alignment horizontal="center" vertical="center"/>
    </xf>
    <xf numFmtId="166" fontId="5" fillId="0" borderId="1" xfId="2" applyNumberFormat="1" applyFont="1" applyFill="1" applyBorder="1" applyProtection="1"/>
    <xf numFmtId="0" fontId="61" fillId="0" borderId="1"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14" fontId="4" fillId="0" borderId="5" xfId="1" quotePrefix="1" applyNumberFormat="1" applyFont="1" applyFill="1" applyBorder="1" applyAlignment="1" applyProtection="1">
      <alignment horizontal="center"/>
    </xf>
    <xf numFmtId="14" fontId="4" fillId="0" borderId="1" xfId="1" quotePrefix="1" applyNumberFormat="1" applyFont="1" applyBorder="1" applyAlignment="1" applyProtection="1">
      <alignment horizontal="center"/>
    </xf>
    <xf numFmtId="0" fontId="5" fillId="0" borderId="64" xfId="0" applyFont="1" applyBorder="1" applyAlignment="1">
      <alignment horizontal="center"/>
    </xf>
    <xf numFmtId="0" fontId="5" fillId="0" borderId="34" xfId="0" applyFont="1" applyBorder="1" applyAlignment="1">
      <alignment horizontal="center"/>
    </xf>
    <xf numFmtId="0" fontId="4" fillId="0" borderId="34" xfId="0" applyFont="1" applyBorder="1"/>
    <xf numFmtId="0" fontId="4" fillId="0" borderId="65" xfId="0" applyFont="1" applyBorder="1"/>
    <xf numFmtId="0" fontId="43" fillId="0" borderId="0" xfId="0" applyFont="1"/>
    <xf numFmtId="44" fontId="6" fillId="0" borderId="0" xfId="0" applyNumberFormat="1" applyFont="1" applyProtection="1">
      <protection locked="0"/>
    </xf>
    <xf numFmtId="44" fontId="4" fillId="0" borderId="0" xfId="0" applyNumberFormat="1" applyFont="1" applyProtection="1">
      <protection locked="0"/>
    </xf>
    <xf numFmtId="166" fontId="5" fillId="0" borderId="0" xfId="2" applyNumberFormat="1" applyFont="1" applyFill="1" applyBorder="1" applyProtection="1"/>
    <xf numFmtId="1" fontId="4" fillId="0" borderId="1" xfId="1" quotePrefix="1" applyNumberFormat="1" applyFont="1" applyBorder="1" applyAlignment="1" applyProtection="1">
      <alignment horizontal="center"/>
    </xf>
    <xf numFmtId="14" fontId="5" fillId="0" borderId="4" xfId="0" applyNumberFormat="1" applyFont="1" applyBorder="1" applyAlignment="1">
      <alignment horizontal="center"/>
    </xf>
    <xf numFmtId="0" fontId="64" fillId="0" borderId="0" xfId="0" applyFont="1" applyProtection="1">
      <protection locked="0"/>
    </xf>
    <xf numFmtId="0" fontId="22" fillId="0" borderId="0" xfId="4" applyFont="1" applyFill="1" applyBorder="1" applyAlignment="1" applyProtection="1">
      <protection locked="0"/>
    </xf>
    <xf numFmtId="0" fontId="23" fillId="10" borderId="0" xfId="0" applyFont="1" applyFill="1" applyAlignment="1" applyProtection="1">
      <alignment horizontal="center"/>
      <protection locked="0"/>
    </xf>
    <xf numFmtId="1" fontId="24" fillId="0" borderId="0" xfId="0" applyNumberFormat="1" applyFont="1" applyAlignment="1" applyProtection="1">
      <alignment horizontal="center"/>
      <protection locked="0"/>
    </xf>
    <xf numFmtId="0" fontId="5" fillId="13" borderId="1" xfId="0" applyFont="1" applyFill="1" applyBorder="1" applyAlignment="1" applyProtection="1">
      <alignment horizontal="center"/>
      <protection locked="0"/>
    </xf>
    <xf numFmtId="10" fontId="9" fillId="0" borderId="1" xfId="3" applyNumberFormat="1" applyFont="1" applyFill="1" applyBorder="1" applyAlignment="1" applyProtection="1">
      <alignment horizontal="center"/>
    </xf>
    <xf numFmtId="10" fontId="17" fillId="0" borderId="1" xfId="3" applyNumberFormat="1" applyFont="1" applyFill="1" applyBorder="1" applyAlignment="1" applyProtection="1">
      <alignment horizontal="center"/>
    </xf>
    <xf numFmtId="0" fontId="5" fillId="0" borderId="5" xfId="0" applyFont="1" applyBorder="1" applyAlignment="1" applyProtection="1">
      <alignment horizontal="center"/>
      <protection locked="0"/>
    </xf>
    <xf numFmtId="0" fontId="5" fillId="16" borderId="1" xfId="0" applyFont="1" applyFill="1" applyBorder="1" applyAlignment="1" applyProtection="1">
      <alignment horizontal="center"/>
      <protection locked="0"/>
    </xf>
    <xf numFmtId="44" fontId="4" fillId="0" borderId="1" xfId="2" applyFont="1" applyFill="1" applyBorder="1" applyAlignment="1" applyProtection="1">
      <alignment horizontal="center"/>
      <protection locked="0"/>
    </xf>
    <xf numFmtId="44" fontId="4" fillId="5" borderId="13" xfId="0" applyNumberFormat="1" applyFont="1" applyFill="1" applyBorder="1" applyAlignment="1">
      <alignment horizontal="center"/>
    </xf>
    <xf numFmtId="44" fontId="4" fillId="0" borderId="13" xfId="2" applyFont="1" applyBorder="1" applyAlignment="1">
      <alignment horizontal="center"/>
    </xf>
    <xf numFmtId="44" fontId="4" fillId="5" borderId="13" xfId="2" applyFont="1" applyFill="1" applyBorder="1" applyAlignment="1">
      <alignment horizontal="center"/>
    </xf>
    <xf numFmtId="44" fontId="4" fillId="5" borderId="15" xfId="0" applyNumberFormat="1" applyFont="1" applyFill="1" applyBorder="1" applyAlignment="1">
      <alignment horizontal="center"/>
    </xf>
    <xf numFmtId="44" fontId="4" fillId="0" borderId="15" xfId="2" applyFont="1" applyBorder="1" applyAlignment="1">
      <alignment horizontal="center"/>
    </xf>
    <xf numFmtId="44" fontId="4" fillId="5" borderId="15" xfId="2" applyFont="1" applyFill="1" applyBorder="1" applyAlignment="1">
      <alignment horizontal="center"/>
    </xf>
    <xf numFmtId="165" fontId="4" fillId="0" borderId="1" xfId="0" applyNumberFormat="1" applyFont="1" applyBorder="1"/>
    <xf numFmtId="165" fontId="4" fillId="0" borderId="1" xfId="3" applyNumberFormat="1" applyFont="1" applyFill="1" applyBorder="1"/>
    <xf numFmtId="166" fontId="26" fillId="0" borderId="1" xfId="0" applyNumberFormat="1" applyFont="1" applyBorder="1"/>
    <xf numFmtId="44" fontId="26" fillId="0" borderId="1" xfId="2" applyFont="1" applyFill="1" applyBorder="1"/>
    <xf numFmtId="0" fontId="39" fillId="0" borderId="0" xfId="0" applyFont="1" applyProtection="1">
      <protection locked="0"/>
    </xf>
    <xf numFmtId="10" fontId="39" fillId="0" borderId="0" xfId="0" applyNumberFormat="1" applyFont="1" applyProtection="1">
      <protection locked="0"/>
    </xf>
    <xf numFmtId="0" fontId="41" fillId="0" borderId="0" xfId="0" applyFont="1" applyProtection="1">
      <protection locked="0"/>
    </xf>
    <xf numFmtId="9" fontId="39" fillId="0" borderId="0" xfId="0" applyNumberFormat="1" applyFont="1" applyProtection="1">
      <protection locked="0"/>
    </xf>
    <xf numFmtId="0" fontId="6" fillId="0" borderId="0" xfId="0" applyFont="1" applyAlignment="1" applyProtection="1">
      <alignment vertical="center" wrapText="1"/>
      <protection locked="0"/>
    </xf>
    <xf numFmtId="0" fontId="65" fillId="0" borderId="0" xfId="0" applyFont="1" applyAlignment="1" applyProtection="1">
      <alignment horizontal="left" vertical="center"/>
      <protection locked="0"/>
    </xf>
    <xf numFmtId="164" fontId="5" fillId="3" borderId="1" xfId="3" applyNumberFormat="1" applyFont="1" applyFill="1" applyBorder="1" applyAlignment="1" applyProtection="1">
      <alignment horizontal="center" vertical="center" wrapText="1"/>
    </xf>
    <xf numFmtId="164" fontId="5" fillId="3" borderId="4" xfId="3" applyNumberFormat="1" applyFont="1" applyFill="1" applyBorder="1" applyAlignment="1" applyProtection="1">
      <alignment horizontal="center" vertical="center" wrapText="1"/>
    </xf>
    <xf numFmtId="0" fontId="4" fillId="0" borderId="0" xfId="0" applyFont="1" applyAlignment="1" applyProtection="1">
      <alignment horizontal="left"/>
      <protection locked="0"/>
    </xf>
    <xf numFmtId="14" fontId="4" fillId="0" borderId="1" xfId="1" quotePrefix="1" applyNumberFormat="1" applyFont="1" applyFill="1" applyBorder="1" applyAlignment="1" applyProtection="1">
      <alignment horizontal="center"/>
    </xf>
    <xf numFmtId="0" fontId="47" fillId="17" borderId="0" xfId="0" applyFont="1" applyFill="1" applyProtection="1">
      <protection locked="0"/>
    </xf>
    <xf numFmtId="0" fontId="6" fillId="17" borderId="0" xfId="0" applyFont="1" applyFill="1" applyProtection="1">
      <protection locked="0"/>
    </xf>
    <xf numFmtId="0" fontId="5" fillId="9" borderId="0" xfId="0" applyFont="1" applyFill="1"/>
    <xf numFmtId="0" fontId="5" fillId="5" borderId="1" xfId="0" applyFont="1" applyFill="1" applyBorder="1" applyAlignment="1">
      <alignment horizontal="center" wrapText="1"/>
    </xf>
    <xf numFmtId="2" fontId="4" fillId="5" borderId="1" xfId="0" applyNumberFormat="1" applyFont="1" applyFill="1" applyBorder="1" applyAlignment="1">
      <alignment horizontal="center"/>
    </xf>
    <xf numFmtId="0" fontId="5" fillId="5" borderId="13" xfId="0" applyFont="1" applyFill="1" applyBorder="1" applyAlignment="1">
      <alignment horizontal="center" wrapText="1"/>
    </xf>
    <xf numFmtId="0" fontId="5" fillId="5" borderId="14" xfId="0" applyFont="1" applyFill="1" applyBorder="1" applyAlignment="1">
      <alignment horizontal="center" wrapText="1"/>
    </xf>
    <xf numFmtId="2" fontId="4" fillId="5" borderId="16" xfId="0" applyNumberFormat="1" applyFont="1" applyFill="1" applyBorder="1" applyAlignment="1">
      <alignment horizontal="center"/>
    </xf>
    <xf numFmtId="0" fontId="5" fillId="0" borderId="1" xfId="0" applyFont="1" applyBorder="1" applyAlignment="1">
      <alignment horizontal="center" wrapText="1"/>
    </xf>
    <xf numFmtId="0" fontId="5" fillId="0" borderId="13" xfId="0" applyFont="1" applyBorder="1" applyAlignment="1">
      <alignment horizontal="center" wrapText="1"/>
    </xf>
    <xf numFmtId="0" fontId="5" fillId="0" borderId="14" xfId="0" applyFont="1" applyBorder="1" applyAlignment="1">
      <alignment horizontal="center" wrapText="1"/>
    </xf>
    <xf numFmtId="2" fontId="4" fillId="0" borderId="16" xfId="0" applyNumberFormat="1" applyFont="1" applyBorder="1" applyAlignment="1">
      <alignment horizontal="center"/>
    </xf>
    <xf numFmtId="0" fontId="5" fillId="0" borderId="9" xfId="0" applyFont="1" applyBorder="1" applyAlignment="1">
      <alignment horizontal="center" wrapText="1"/>
    </xf>
    <xf numFmtId="0" fontId="5" fillId="5" borderId="9" xfId="0" applyFont="1" applyFill="1" applyBorder="1" applyAlignment="1">
      <alignment horizontal="center" wrapText="1"/>
    </xf>
    <xf numFmtId="0" fontId="5" fillId="0" borderId="60" xfId="0" applyFont="1" applyBorder="1" applyAlignment="1">
      <alignment horizontal="center"/>
    </xf>
    <xf numFmtId="44" fontId="4" fillId="5" borderId="14" xfId="2" applyFont="1" applyFill="1" applyBorder="1" applyAlignment="1">
      <alignment horizontal="center"/>
    </xf>
    <xf numFmtId="44" fontId="4" fillId="0" borderId="14" xfId="2" applyFont="1" applyBorder="1" applyAlignment="1">
      <alignment horizontal="center"/>
    </xf>
    <xf numFmtId="44" fontId="4" fillId="5" borderId="17" xfId="2" applyFont="1" applyFill="1" applyBorder="1" applyAlignment="1">
      <alignment horizontal="center"/>
    </xf>
    <xf numFmtId="44" fontId="4" fillId="0" borderId="17" xfId="2" applyFont="1" applyBorder="1" applyAlignment="1">
      <alignment horizontal="center"/>
    </xf>
    <xf numFmtId="44" fontId="4" fillId="5" borderId="9" xfId="2" applyFont="1" applyFill="1" applyBorder="1" applyAlignment="1">
      <alignment horizontal="center"/>
    </xf>
    <xf numFmtId="44" fontId="4" fillId="5" borderId="45" xfId="2" applyFont="1" applyFill="1" applyBorder="1" applyAlignment="1">
      <alignment horizontal="center"/>
    </xf>
    <xf numFmtId="44" fontId="4" fillId="0" borderId="9" xfId="2" applyFont="1" applyBorder="1" applyAlignment="1">
      <alignment horizontal="center"/>
    </xf>
    <xf numFmtId="44" fontId="4" fillId="0" borderId="45" xfId="2" applyFont="1" applyBorder="1" applyAlignment="1">
      <alignment horizontal="center"/>
    </xf>
    <xf numFmtId="0" fontId="5" fillId="0" borderId="69" xfId="0" applyFont="1" applyBorder="1" applyAlignment="1">
      <alignment horizontal="center" wrapText="1"/>
    </xf>
    <xf numFmtId="0" fontId="5" fillId="0" borderId="1" xfId="0" applyFont="1" applyBorder="1"/>
    <xf numFmtId="44" fontId="4" fillId="0" borderId="1" xfId="2" applyFont="1" applyBorder="1"/>
    <xf numFmtId="0" fontId="5" fillId="0" borderId="14" xfId="0" applyFont="1" applyBorder="1"/>
    <xf numFmtId="0" fontId="4" fillId="0" borderId="15" xfId="0" applyFont="1" applyBorder="1"/>
    <xf numFmtId="165" fontId="4" fillId="0" borderId="16" xfId="0" applyNumberFormat="1" applyFont="1" applyBorder="1"/>
    <xf numFmtId="166" fontId="4" fillId="0" borderId="16" xfId="2" applyNumberFormat="1" applyFont="1" applyBorder="1"/>
    <xf numFmtId="166" fontId="4" fillId="0" borderId="17" xfId="2" applyNumberFormat="1" applyFont="1" applyBorder="1"/>
    <xf numFmtId="0" fontId="5" fillId="0" borderId="1" xfId="0" applyFont="1" applyBorder="1" applyAlignment="1">
      <alignment horizontal="right"/>
    </xf>
    <xf numFmtId="44" fontId="4" fillId="0" borderId="14" xfId="2" applyFont="1" applyBorder="1"/>
    <xf numFmtId="0" fontId="4" fillId="5" borderId="13" xfId="0" applyFont="1" applyFill="1" applyBorder="1"/>
    <xf numFmtId="0" fontId="5" fillId="5" borderId="1" xfId="0" applyFont="1" applyFill="1" applyBorder="1" applyAlignment="1">
      <alignment horizontal="right"/>
    </xf>
    <xf numFmtId="0" fontId="5" fillId="5" borderId="1" xfId="0" applyFont="1" applyFill="1" applyBorder="1"/>
    <xf numFmtId="0" fontId="5" fillId="5" borderId="14" xfId="0" applyFont="1" applyFill="1" applyBorder="1"/>
    <xf numFmtId="2" fontId="4" fillId="5" borderId="1" xfId="0" applyNumberFormat="1" applyFont="1" applyFill="1" applyBorder="1"/>
    <xf numFmtId="44" fontId="4" fillId="5" borderId="1" xfId="2" applyFont="1" applyFill="1" applyBorder="1"/>
    <xf numFmtId="44" fontId="4" fillId="5" borderId="14" xfId="2" applyFont="1" applyFill="1" applyBorder="1"/>
    <xf numFmtId="0" fontId="4" fillId="5" borderId="15" xfId="0" applyFont="1" applyFill="1" applyBorder="1"/>
    <xf numFmtId="165" fontId="4" fillId="5" borderId="16" xfId="0" applyNumberFormat="1" applyFont="1" applyFill="1" applyBorder="1"/>
    <xf numFmtId="166" fontId="4" fillId="5" borderId="16" xfId="2" applyNumberFormat="1" applyFont="1" applyFill="1" applyBorder="1"/>
    <xf numFmtId="166" fontId="4" fillId="5" borderId="17" xfId="2" applyNumberFormat="1" applyFont="1" applyFill="1" applyBorder="1"/>
    <xf numFmtId="0" fontId="66" fillId="0" borderId="0" xfId="0" applyFont="1" applyAlignment="1" applyProtection="1">
      <alignment horizontal="center"/>
      <protection locked="0"/>
    </xf>
    <xf numFmtId="0" fontId="4" fillId="0" borderId="46" xfId="0" applyFont="1" applyBorder="1"/>
    <xf numFmtId="0" fontId="4" fillId="0" borderId="47" xfId="0" applyFont="1" applyBorder="1"/>
    <xf numFmtId="0" fontId="4" fillId="0" borderId="44" xfId="0" applyFont="1" applyBorder="1" applyAlignment="1">
      <alignment horizontal="center"/>
    </xf>
    <xf numFmtId="0" fontId="5" fillId="5" borderId="9" xfId="0" applyFont="1" applyFill="1" applyBorder="1"/>
    <xf numFmtId="44" fontId="4" fillId="5" borderId="9" xfId="2" applyFont="1" applyFill="1" applyBorder="1"/>
    <xf numFmtId="0" fontId="4" fillId="19" borderId="13" xfId="0" applyFont="1" applyFill="1" applyBorder="1"/>
    <xf numFmtId="0" fontId="5" fillId="19" borderId="1" xfId="0" applyFont="1" applyFill="1" applyBorder="1" applyAlignment="1">
      <alignment horizontal="right"/>
    </xf>
    <xf numFmtId="0" fontId="5" fillId="19" borderId="1" xfId="0" applyFont="1" applyFill="1" applyBorder="1"/>
    <xf numFmtId="0" fontId="5" fillId="19" borderId="14" xfId="0" applyFont="1" applyFill="1" applyBorder="1"/>
    <xf numFmtId="0" fontId="4" fillId="19" borderId="15" xfId="0" applyFont="1" applyFill="1" applyBorder="1"/>
    <xf numFmtId="165" fontId="4" fillId="19" borderId="16" xfId="0" applyNumberFormat="1" applyFont="1" applyFill="1" applyBorder="1"/>
    <xf numFmtId="172" fontId="4" fillId="19" borderId="16" xfId="2" applyNumberFormat="1" applyFont="1" applyFill="1" applyBorder="1"/>
    <xf numFmtId="166" fontId="4" fillId="19" borderId="17" xfId="2" applyNumberFormat="1" applyFont="1" applyFill="1" applyBorder="1"/>
    <xf numFmtId="0" fontId="4" fillId="19" borderId="10" xfId="0" applyFont="1" applyFill="1" applyBorder="1"/>
    <xf numFmtId="0" fontId="5" fillId="19" borderId="11" xfId="0" applyFont="1" applyFill="1" applyBorder="1" applyAlignment="1">
      <alignment horizontal="right"/>
    </xf>
    <xf numFmtId="0" fontId="5" fillId="19" borderId="11" xfId="0" applyFont="1" applyFill="1" applyBorder="1"/>
    <xf numFmtId="0" fontId="5" fillId="19" borderId="12" xfId="0" applyFont="1" applyFill="1" applyBorder="1"/>
    <xf numFmtId="165" fontId="4" fillId="19" borderId="1" xfId="0" applyNumberFormat="1" applyFont="1" applyFill="1" applyBorder="1"/>
    <xf numFmtId="172" fontId="4" fillId="19" borderId="1" xfId="2" applyNumberFormat="1" applyFont="1" applyFill="1" applyBorder="1"/>
    <xf numFmtId="166" fontId="4" fillId="19" borderId="14" xfId="2" applyNumberFormat="1" applyFont="1" applyFill="1" applyBorder="1"/>
    <xf numFmtId="0" fontId="4" fillId="0" borderId="14" xfId="0" applyFont="1" applyBorder="1" applyAlignment="1">
      <alignment horizontal="center"/>
    </xf>
    <xf numFmtId="0" fontId="4" fillId="0" borderId="0" xfId="0" applyFont="1" applyAlignment="1">
      <alignment wrapText="1"/>
    </xf>
    <xf numFmtId="0" fontId="4" fillId="5" borderId="70" xfId="0" applyFont="1" applyFill="1" applyBorder="1"/>
    <xf numFmtId="2" fontId="4" fillId="5" borderId="5" xfId="0" applyNumberFormat="1" applyFont="1" applyFill="1" applyBorder="1"/>
    <xf numFmtId="44" fontId="4" fillId="5" borderId="5" xfId="2" applyFont="1" applyFill="1" applyBorder="1"/>
    <xf numFmtId="44" fontId="4" fillId="5" borderId="71" xfId="2" applyFont="1" applyFill="1" applyBorder="1"/>
    <xf numFmtId="0" fontId="4" fillId="0" borderId="70" xfId="0" applyFont="1" applyBorder="1"/>
    <xf numFmtId="2" fontId="4" fillId="0" borderId="5" xfId="0" applyNumberFormat="1" applyFont="1" applyBorder="1"/>
    <xf numFmtId="44" fontId="4" fillId="0" borderId="5" xfId="2" applyFont="1" applyBorder="1"/>
    <xf numFmtId="44" fontId="4" fillId="0" borderId="71" xfId="2" applyFont="1" applyBorder="1"/>
    <xf numFmtId="44" fontId="4" fillId="5" borderId="6" xfId="2" applyFont="1" applyFill="1" applyBorder="1"/>
    <xf numFmtId="0" fontId="4" fillId="19" borderId="70" xfId="0" applyFont="1" applyFill="1" applyBorder="1"/>
    <xf numFmtId="165" fontId="4" fillId="19" borderId="5" xfId="0" applyNumberFormat="1" applyFont="1" applyFill="1" applyBorder="1"/>
    <xf numFmtId="172" fontId="4" fillId="19" borderId="5" xfId="2" applyNumberFormat="1" applyFont="1" applyFill="1" applyBorder="1"/>
    <xf numFmtId="166" fontId="4" fillId="19" borderId="71" xfId="2" applyNumberFormat="1" applyFont="1" applyFill="1" applyBorder="1"/>
    <xf numFmtId="0" fontId="4" fillId="5" borderId="10" xfId="0" applyFont="1" applyFill="1" applyBorder="1"/>
    <xf numFmtId="0" fontId="4" fillId="5" borderId="11" xfId="0" applyFont="1" applyFill="1" applyBorder="1" applyAlignment="1">
      <alignment horizontal="right"/>
    </xf>
    <xf numFmtId="166" fontId="4" fillId="5" borderId="11" xfId="0" applyNumberFormat="1" applyFont="1" applyFill="1" applyBorder="1"/>
    <xf numFmtId="166" fontId="4" fillId="5" borderId="12" xfId="0" applyNumberFormat="1" applyFont="1" applyFill="1" applyBorder="1"/>
    <xf numFmtId="166" fontId="4" fillId="5" borderId="16" xfId="0" applyNumberFormat="1" applyFont="1" applyFill="1" applyBorder="1" applyAlignment="1">
      <alignment wrapText="1"/>
    </xf>
    <xf numFmtId="166" fontId="4" fillId="5" borderId="17" xfId="0" applyNumberFormat="1" applyFont="1" applyFill="1" applyBorder="1" applyAlignment="1">
      <alignment wrapText="1"/>
    </xf>
    <xf numFmtId="0" fontId="4" fillId="4" borderId="10" xfId="0" applyFont="1" applyFill="1" applyBorder="1"/>
    <xf numFmtId="0" fontId="4" fillId="4" borderId="11" xfId="0" applyFont="1" applyFill="1" applyBorder="1" applyAlignment="1">
      <alignment horizontal="right"/>
    </xf>
    <xf numFmtId="166" fontId="4" fillId="4" borderId="11" xfId="0" applyNumberFormat="1" applyFont="1" applyFill="1" applyBorder="1"/>
    <xf numFmtId="166" fontId="4" fillId="4" borderId="12" xfId="0" applyNumberFormat="1" applyFont="1" applyFill="1" applyBorder="1"/>
    <xf numFmtId="166" fontId="4" fillId="4" borderId="16" xfId="0" applyNumberFormat="1" applyFont="1" applyFill="1" applyBorder="1" applyAlignment="1">
      <alignment wrapText="1"/>
    </xf>
    <xf numFmtId="166" fontId="4" fillId="4" borderId="17" xfId="0" applyNumberFormat="1" applyFont="1" applyFill="1" applyBorder="1" applyAlignment="1">
      <alignment wrapText="1"/>
    </xf>
    <xf numFmtId="0" fontId="4" fillId="19" borderId="11" xfId="0" applyFont="1" applyFill="1" applyBorder="1" applyAlignment="1">
      <alignment horizontal="right"/>
    </xf>
    <xf numFmtId="166" fontId="4" fillId="19" borderId="11" xfId="0" applyNumberFormat="1" applyFont="1" applyFill="1" applyBorder="1"/>
    <xf numFmtId="166" fontId="4" fillId="19" borderId="12" xfId="0" applyNumberFormat="1" applyFont="1" applyFill="1" applyBorder="1"/>
    <xf numFmtId="166" fontId="4" fillId="19" borderId="16" xfId="0" applyNumberFormat="1" applyFont="1" applyFill="1" applyBorder="1" applyAlignment="1">
      <alignment wrapText="1"/>
    </xf>
    <xf numFmtId="166" fontId="4" fillId="19" borderId="17" xfId="0" applyNumberFormat="1" applyFont="1" applyFill="1" applyBorder="1" applyAlignment="1">
      <alignment wrapText="1"/>
    </xf>
    <xf numFmtId="0" fontId="10" fillId="0" borderId="0" xfId="4" applyFill="1" applyProtection="1">
      <protection locked="0"/>
    </xf>
    <xf numFmtId="0" fontId="11" fillId="0" borderId="0" xfId="0" applyFont="1" applyProtection="1">
      <protection locked="0"/>
    </xf>
    <xf numFmtId="0" fontId="13" fillId="8" borderId="1" xfId="4" applyFont="1" applyFill="1" applyBorder="1" applyProtection="1">
      <protection locked="0"/>
    </xf>
    <xf numFmtId="2" fontId="23" fillId="0" borderId="1" xfId="0" applyNumberFormat="1" applyFont="1" applyBorder="1" applyProtection="1">
      <protection locked="0"/>
    </xf>
    <xf numFmtId="0" fontId="69" fillId="0" borderId="1" xfId="4" applyFont="1" applyFill="1" applyBorder="1" applyAlignment="1" applyProtection="1">
      <alignment horizontal="center"/>
      <protection locked="0"/>
    </xf>
    <xf numFmtId="0" fontId="69" fillId="0" borderId="1" xfId="4" applyFont="1" applyFill="1" applyBorder="1" applyProtection="1">
      <protection locked="0"/>
    </xf>
    <xf numFmtId="173" fontId="42" fillId="0" borderId="0" xfId="0" applyNumberFormat="1" applyFont="1" applyProtection="1">
      <protection locked="0"/>
    </xf>
    <xf numFmtId="0" fontId="42" fillId="4" borderId="0" xfId="0" applyFont="1" applyFill="1" applyAlignment="1" applyProtection="1">
      <alignment horizontal="right"/>
      <protection locked="0"/>
    </xf>
    <xf numFmtId="44" fontId="70" fillId="0" borderId="0" xfId="0" applyNumberFormat="1" applyFont="1" applyAlignment="1" applyProtection="1">
      <alignment horizontal="right"/>
      <protection locked="0"/>
    </xf>
    <xf numFmtId="0" fontId="42" fillId="4" borderId="0" xfId="0" applyFont="1" applyFill="1" applyProtection="1">
      <protection locked="0"/>
    </xf>
    <xf numFmtId="9" fontId="42" fillId="0" borderId="0" xfId="0" applyNumberFormat="1" applyFont="1" applyProtection="1">
      <protection locked="0"/>
    </xf>
    <xf numFmtId="0" fontId="53" fillId="0" borderId="3" xfId="0" applyFont="1" applyBorder="1" applyAlignment="1" applyProtection="1">
      <alignment horizontal="left"/>
      <protection locked="0"/>
    </xf>
    <xf numFmtId="0" fontId="53" fillId="0" borderId="37" xfId="0" applyFont="1" applyBorder="1" applyAlignment="1" applyProtection="1">
      <alignment horizontal="left"/>
      <protection locked="0"/>
    </xf>
    <xf numFmtId="0" fontId="53" fillId="0" borderId="1" xfId="0" applyFont="1" applyBorder="1" applyAlignment="1" applyProtection="1">
      <alignment horizontal="left"/>
      <protection locked="0"/>
    </xf>
    <xf numFmtId="0" fontId="4" fillId="0" borderId="9" xfId="0" applyFont="1" applyBorder="1" applyAlignment="1" applyProtection="1">
      <alignment horizontal="left"/>
      <protection locked="0"/>
    </xf>
    <xf numFmtId="0" fontId="4" fillId="0" borderId="36" xfId="0" applyFont="1" applyBorder="1" applyAlignment="1" applyProtection="1">
      <alignment horizontal="left"/>
      <protection locked="0"/>
    </xf>
    <xf numFmtId="0" fontId="4" fillId="0" borderId="22" xfId="0" applyFont="1" applyBorder="1" applyAlignment="1" applyProtection="1">
      <alignment horizontal="left"/>
      <protection locked="0"/>
    </xf>
    <xf numFmtId="0" fontId="43" fillId="2" borderId="9" xfId="0" applyFont="1" applyFill="1" applyBorder="1" applyAlignment="1" applyProtection="1">
      <alignment horizontal="left" vertical="center"/>
      <protection locked="0"/>
    </xf>
    <xf numFmtId="0" fontId="43" fillId="2" borderId="36" xfId="0" applyFont="1" applyFill="1" applyBorder="1" applyAlignment="1" applyProtection="1">
      <alignment horizontal="left" vertical="center"/>
      <protection locked="0"/>
    </xf>
    <xf numFmtId="0" fontId="43" fillId="2" borderId="22" xfId="0" applyFont="1" applyFill="1" applyBorder="1" applyAlignment="1" applyProtection="1">
      <alignment horizontal="left" vertical="center"/>
      <protection locked="0"/>
    </xf>
    <xf numFmtId="0" fontId="43" fillId="2" borderId="9" xfId="0" applyFont="1" applyFill="1" applyBorder="1" applyAlignment="1" applyProtection="1">
      <alignment horizontal="left"/>
      <protection locked="0"/>
    </xf>
    <xf numFmtId="0" fontId="43" fillId="2" borderId="36" xfId="0" applyFont="1" applyFill="1" applyBorder="1" applyAlignment="1" applyProtection="1">
      <alignment horizontal="left"/>
      <protection locked="0"/>
    </xf>
    <xf numFmtId="0" fontId="43" fillId="2" borderId="22" xfId="0" applyFont="1" applyFill="1" applyBorder="1" applyAlignment="1" applyProtection="1">
      <alignment horizontal="left"/>
      <protection locked="0"/>
    </xf>
    <xf numFmtId="0" fontId="4" fillId="0" borderId="1" xfId="0" applyFont="1" applyBorder="1" applyAlignment="1" applyProtection="1">
      <alignment horizontal="left"/>
      <protection locked="0"/>
    </xf>
    <xf numFmtId="0" fontId="4" fillId="0" borderId="5" xfId="0" applyFont="1" applyBorder="1" applyAlignment="1" applyProtection="1">
      <alignment horizontal="left"/>
      <protection locked="0"/>
    </xf>
    <xf numFmtId="0" fontId="4" fillId="0" borderId="9" xfId="0" applyFont="1" applyBorder="1" applyAlignment="1" applyProtection="1">
      <alignment horizontal="center"/>
      <protection locked="0"/>
    </xf>
    <xf numFmtId="0" fontId="4" fillId="0" borderId="36" xfId="0" applyFont="1" applyBorder="1" applyAlignment="1" applyProtection="1">
      <alignment horizontal="center"/>
      <protection locked="0"/>
    </xf>
    <xf numFmtId="0" fontId="43" fillId="3" borderId="9" xfId="0" applyFont="1" applyFill="1" applyBorder="1" applyAlignment="1" applyProtection="1">
      <alignment horizontal="right"/>
      <protection locked="0"/>
    </xf>
    <xf numFmtId="0" fontId="43" fillId="3" borderId="36" xfId="0" applyFont="1" applyFill="1" applyBorder="1" applyAlignment="1" applyProtection="1">
      <alignment horizontal="right"/>
      <protection locked="0"/>
    </xf>
    <xf numFmtId="0" fontId="5" fillId="0" borderId="0" xfId="0" applyFont="1" applyAlignment="1" applyProtection="1">
      <alignment horizontal="left" wrapText="1"/>
      <protection locked="0"/>
    </xf>
    <xf numFmtId="0" fontId="17" fillId="5" borderId="9" xfId="0" applyFont="1" applyFill="1" applyBorder="1" applyAlignment="1">
      <alignment horizontal="center"/>
    </xf>
    <xf numFmtId="0" fontId="17" fillId="5" borderId="36" xfId="0" applyFont="1" applyFill="1" applyBorder="1" applyAlignment="1">
      <alignment horizontal="center"/>
    </xf>
    <xf numFmtId="0" fontId="17" fillId="5" borderId="0" xfId="0" applyFont="1" applyFill="1" applyAlignment="1">
      <alignment horizontal="center"/>
    </xf>
    <xf numFmtId="0" fontId="17" fillId="5" borderId="2" xfId="0" applyFont="1" applyFill="1" applyBorder="1" applyAlignment="1">
      <alignment horizontal="center"/>
    </xf>
    <xf numFmtId="0" fontId="4" fillId="0" borderId="6" xfId="0" applyFont="1" applyBorder="1" applyAlignment="1" applyProtection="1">
      <alignment horizontal="left" wrapText="1"/>
      <protection locked="0"/>
    </xf>
    <xf numFmtId="0" fontId="4" fillId="0" borderId="38" xfId="0" applyFont="1" applyBorder="1" applyAlignment="1" applyProtection="1">
      <alignment horizontal="left" wrapText="1"/>
      <protection locked="0"/>
    </xf>
    <xf numFmtId="0" fontId="4" fillId="0" borderId="7" xfId="0" applyFont="1" applyBorder="1" applyAlignment="1" applyProtection="1">
      <alignment horizontal="left" wrapText="1"/>
      <protection locked="0"/>
    </xf>
    <xf numFmtId="0" fontId="4" fillId="0" borderId="26" xfId="0" applyFont="1" applyBorder="1" applyAlignment="1" applyProtection="1">
      <alignment horizontal="left" wrapText="1"/>
      <protection locked="0"/>
    </xf>
    <xf numFmtId="0" fontId="4" fillId="0" borderId="0" xfId="0" applyFont="1" applyAlignment="1" applyProtection="1">
      <alignment horizontal="left" wrapText="1"/>
      <protection locked="0"/>
    </xf>
    <xf numFmtId="0" fontId="4" fillId="0" borderId="2"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4" fillId="0" borderId="37" xfId="0" applyFont="1" applyBorder="1" applyAlignment="1" applyProtection="1">
      <alignment horizontal="left" wrapText="1"/>
      <protection locked="0"/>
    </xf>
    <xf numFmtId="0" fontId="4" fillId="0" borderId="8" xfId="0" applyFont="1" applyBorder="1" applyAlignment="1" applyProtection="1">
      <alignment horizontal="left" wrapText="1"/>
      <protection locked="0"/>
    </xf>
    <xf numFmtId="0" fontId="13" fillId="0" borderId="0" xfId="4" applyFont="1" applyFill="1" applyAlignment="1" applyProtection="1">
      <alignment horizontal="left"/>
      <protection locked="0"/>
    </xf>
    <xf numFmtId="0" fontId="5" fillId="13" borderId="15" xfId="0" applyFont="1" applyFill="1" applyBorder="1" applyAlignment="1" applyProtection="1">
      <alignment horizontal="left"/>
      <protection locked="0"/>
    </xf>
    <xf numFmtId="0" fontId="5" fillId="13" borderId="16" xfId="0" applyFont="1" applyFill="1" applyBorder="1" applyAlignment="1" applyProtection="1">
      <alignment horizontal="left"/>
      <protection locked="0"/>
    </xf>
    <xf numFmtId="0" fontId="5" fillId="0" borderId="16" xfId="0" applyFont="1" applyBorder="1" applyAlignment="1" applyProtection="1">
      <alignment horizontal="right"/>
      <protection locked="0"/>
    </xf>
    <xf numFmtId="0" fontId="5" fillId="13" borderId="1" xfId="0" applyFont="1" applyFill="1" applyBorder="1" applyAlignment="1" applyProtection="1">
      <alignment horizontal="left"/>
      <protection locked="0"/>
    </xf>
    <xf numFmtId="0" fontId="5" fillId="5" borderId="10" xfId="0" applyFont="1" applyFill="1" applyBorder="1" applyAlignment="1" applyProtection="1">
      <alignment horizontal="left"/>
      <protection locked="0"/>
    </xf>
    <xf numFmtId="0" fontId="5" fillId="5" borderId="11" xfId="0" applyFont="1" applyFill="1" applyBorder="1" applyAlignment="1" applyProtection="1">
      <alignment horizontal="left"/>
      <protection locked="0"/>
    </xf>
    <xf numFmtId="0" fontId="5" fillId="5" borderId="13" xfId="0" applyFont="1" applyFill="1" applyBorder="1" applyAlignment="1" applyProtection="1">
      <alignment horizontal="left"/>
      <protection locked="0"/>
    </xf>
    <xf numFmtId="0" fontId="5" fillId="5" borderId="1" xfId="0" applyFont="1" applyFill="1" applyBorder="1" applyAlignment="1" applyProtection="1">
      <alignment horizontal="left"/>
      <protection locked="0"/>
    </xf>
    <xf numFmtId="0" fontId="43" fillId="3" borderId="39" xfId="0" applyFont="1" applyFill="1" applyBorder="1" applyAlignment="1" applyProtection="1">
      <alignment horizontal="left"/>
      <protection locked="0"/>
    </xf>
    <xf numFmtId="0" fontId="43" fillId="3" borderId="36" xfId="0" applyFont="1" applyFill="1" applyBorder="1" applyAlignment="1" applyProtection="1">
      <alignment horizontal="left"/>
      <protection locked="0"/>
    </xf>
    <xf numFmtId="0" fontId="43" fillId="3" borderId="22" xfId="0" applyFont="1" applyFill="1" applyBorder="1" applyAlignment="1" applyProtection="1">
      <alignment horizontal="left"/>
      <protection locked="0"/>
    </xf>
    <xf numFmtId="0" fontId="43" fillId="3" borderId="13" xfId="0" applyFont="1" applyFill="1" applyBorder="1" applyAlignment="1" applyProtection="1">
      <alignment horizontal="left"/>
      <protection locked="0"/>
    </xf>
    <xf numFmtId="0" fontId="43" fillId="3" borderId="1" xfId="0" applyFont="1" applyFill="1" applyBorder="1" applyAlignment="1" applyProtection="1">
      <alignment horizontal="left"/>
      <protection locked="0"/>
    </xf>
    <xf numFmtId="0" fontId="34" fillId="3" borderId="1" xfId="0" applyFont="1" applyFill="1" applyBorder="1" applyAlignment="1">
      <alignment horizontal="right"/>
    </xf>
    <xf numFmtId="10" fontId="37" fillId="3" borderId="1" xfId="3" applyNumberFormat="1" applyFont="1" applyFill="1" applyBorder="1" applyAlignment="1" applyProtection="1">
      <alignment horizontal="left"/>
    </xf>
    <xf numFmtId="0" fontId="37" fillId="3" borderId="1" xfId="0" applyFont="1" applyFill="1" applyBorder="1" applyAlignment="1">
      <alignment horizontal="right"/>
    </xf>
    <xf numFmtId="0" fontId="43" fillId="14" borderId="28" xfId="0" applyFont="1" applyFill="1" applyBorder="1" applyAlignment="1" applyProtection="1">
      <alignment horizontal="left"/>
      <protection locked="0"/>
    </xf>
    <xf numFmtId="0" fontId="43" fillId="14" borderId="29" xfId="0" applyFont="1" applyFill="1" applyBorder="1" applyAlignment="1" applyProtection="1">
      <alignment horizontal="left"/>
      <protection locked="0"/>
    </xf>
    <xf numFmtId="0" fontId="43" fillId="14" borderId="30" xfId="0" applyFont="1" applyFill="1" applyBorder="1" applyAlignment="1" applyProtection="1">
      <alignment horizontal="left"/>
      <protection locked="0"/>
    </xf>
    <xf numFmtId="0" fontId="43" fillId="3" borderId="9" xfId="0" applyFont="1" applyFill="1" applyBorder="1" applyAlignment="1" applyProtection="1">
      <alignment horizontal="left"/>
      <protection locked="0"/>
    </xf>
    <xf numFmtId="0" fontId="26" fillId="13" borderId="9" xfId="0" applyFont="1" applyFill="1" applyBorder="1" applyAlignment="1" applyProtection="1">
      <alignment horizontal="left" wrapText="1"/>
      <protection locked="0"/>
    </xf>
    <xf numFmtId="0" fontId="26" fillId="13" borderId="36" xfId="0" applyFont="1" applyFill="1" applyBorder="1" applyAlignment="1" applyProtection="1">
      <alignment horizontal="left" wrapText="1"/>
      <protection locked="0"/>
    </xf>
    <xf numFmtId="0" fontId="26" fillId="13" borderId="22" xfId="0" applyFont="1" applyFill="1" applyBorder="1" applyAlignment="1" applyProtection="1">
      <alignment horizontal="left" wrapText="1"/>
      <protection locked="0"/>
    </xf>
    <xf numFmtId="0" fontId="4" fillId="13" borderId="1" xfId="0" applyFont="1" applyFill="1" applyBorder="1" applyAlignment="1" applyProtection="1">
      <alignment horizontal="left"/>
      <protection locked="0"/>
    </xf>
    <xf numFmtId="0" fontId="17" fillId="5" borderId="38" xfId="0" applyFont="1" applyFill="1" applyBorder="1" applyAlignment="1">
      <alignment horizontal="center"/>
    </xf>
    <xf numFmtId="0" fontId="53" fillId="0" borderId="6" xfId="0" applyFont="1" applyBorder="1" applyAlignment="1" applyProtection="1">
      <alignment wrapText="1"/>
      <protection locked="0"/>
    </xf>
    <xf numFmtId="0" fontId="53" fillId="0" borderId="38" xfId="0" applyFont="1" applyBorder="1" applyAlignment="1" applyProtection="1">
      <alignment wrapText="1"/>
      <protection locked="0"/>
    </xf>
    <xf numFmtId="0" fontId="53" fillId="0" borderId="7" xfId="0" applyFont="1" applyBorder="1" applyAlignment="1" applyProtection="1">
      <alignment wrapText="1"/>
      <protection locked="0"/>
    </xf>
    <xf numFmtId="0" fontId="53" fillId="0" borderId="3" xfId="0" applyFont="1" applyBorder="1" applyAlignment="1" applyProtection="1">
      <alignment wrapText="1"/>
      <protection locked="0"/>
    </xf>
    <xf numFmtId="0" fontId="53" fillId="0" borderId="37" xfId="0" applyFont="1" applyBorder="1" applyAlignment="1" applyProtection="1">
      <alignment wrapText="1"/>
      <protection locked="0"/>
    </xf>
    <xf numFmtId="0" fontId="53" fillId="0" borderId="8" xfId="0" applyFont="1" applyBorder="1" applyAlignment="1" applyProtection="1">
      <alignment wrapText="1"/>
      <protection locked="0"/>
    </xf>
    <xf numFmtId="0" fontId="5" fillId="5" borderId="9" xfId="0" applyFont="1" applyFill="1" applyBorder="1" applyAlignment="1" applyProtection="1">
      <alignment horizontal="right"/>
      <protection locked="0"/>
    </xf>
    <xf numFmtId="0" fontId="5" fillId="5" borderId="36" xfId="0" applyFont="1" applyFill="1" applyBorder="1" applyAlignment="1" applyProtection="1">
      <alignment horizontal="right"/>
      <protection locked="0"/>
    </xf>
    <xf numFmtId="0" fontId="29" fillId="0" borderId="5" xfId="0" applyFont="1" applyBorder="1" applyAlignment="1" applyProtection="1">
      <alignment horizontal="center" vertical="top"/>
      <protection locked="0"/>
    </xf>
    <xf numFmtId="0" fontId="29" fillId="0" borderId="4" xfId="0" applyFont="1" applyBorder="1" applyAlignment="1" applyProtection="1">
      <alignment horizontal="center" vertical="top"/>
      <protection locked="0"/>
    </xf>
    <xf numFmtId="0" fontId="67" fillId="0" borderId="6" xfId="6" applyFont="1" applyBorder="1" applyAlignment="1" applyProtection="1">
      <alignment horizontal="left" vertical="top" wrapText="1"/>
      <protection locked="0"/>
    </xf>
    <xf numFmtId="0" fontId="67" fillId="0" borderId="38" xfId="6" applyFont="1" applyBorder="1" applyAlignment="1" applyProtection="1">
      <alignment horizontal="left" vertical="top" wrapText="1"/>
      <protection locked="0"/>
    </xf>
    <xf numFmtId="0" fontId="67" fillId="0" borderId="7" xfId="6" applyFont="1" applyBorder="1" applyAlignment="1" applyProtection="1">
      <alignment horizontal="left" vertical="top" wrapText="1"/>
      <protection locked="0"/>
    </xf>
    <xf numFmtId="0" fontId="67" fillId="0" borderId="3" xfId="6" applyFont="1" applyBorder="1" applyAlignment="1" applyProtection="1">
      <alignment horizontal="left" vertical="top" wrapText="1"/>
      <protection locked="0"/>
    </xf>
    <xf numFmtId="0" fontId="67" fillId="0" borderId="37" xfId="6" applyFont="1" applyBorder="1" applyAlignment="1" applyProtection="1">
      <alignment horizontal="left" vertical="top" wrapText="1"/>
      <protection locked="0"/>
    </xf>
    <xf numFmtId="0" fontId="67" fillId="0" borderId="8" xfId="6" applyFont="1" applyBorder="1" applyAlignment="1" applyProtection="1">
      <alignment horizontal="left" vertical="top" wrapText="1"/>
      <protection locked="0"/>
    </xf>
    <xf numFmtId="0" fontId="31" fillId="0" borderId="9" xfId="6" applyFont="1" applyBorder="1" applyAlignment="1" applyProtection="1">
      <alignment horizontal="left" vertical="top" wrapText="1"/>
      <protection locked="0"/>
    </xf>
    <xf numFmtId="0" fontId="31" fillId="0" borderId="36" xfId="6" applyFont="1" applyBorder="1" applyAlignment="1" applyProtection="1">
      <alignment horizontal="left" vertical="top" wrapText="1"/>
      <protection locked="0"/>
    </xf>
    <xf numFmtId="0" fontId="31" fillId="0" borderId="22" xfId="6" applyFont="1" applyBorder="1" applyAlignment="1" applyProtection="1">
      <alignment horizontal="left" vertical="top" wrapText="1"/>
      <protection locked="0"/>
    </xf>
    <xf numFmtId="0" fontId="30" fillId="0" borderId="9" xfId="6" applyFont="1" applyBorder="1" applyAlignment="1" applyProtection="1">
      <alignment horizontal="left" vertical="top" wrapText="1"/>
      <protection locked="0"/>
    </xf>
    <xf numFmtId="0" fontId="30" fillId="0" borderId="36" xfId="6" applyFont="1" applyBorder="1" applyAlignment="1" applyProtection="1">
      <alignment horizontal="left" vertical="top" wrapText="1"/>
      <protection locked="0"/>
    </xf>
    <xf numFmtId="0" fontId="30" fillId="0" borderId="22" xfId="6" applyFont="1" applyBorder="1" applyAlignment="1" applyProtection="1">
      <alignment horizontal="left" vertical="top" wrapText="1"/>
      <protection locked="0"/>
    </xf>
    <xf numFmtId="43" fontId="5" fillId="0" borderId="1" xfId="1" applyFont="1" applyBorder="1" applyAlignment="1" applyProtection="1">
      <alignment horizontal="center" wrapText="1"/>
      <protection locked="0"/>
    </xf>
    <xf numFmtId="9" fontId="44" fillId="0" borderId="26" xfId="4" applyNumberFormat="1" applyFont="1" applyFill="1" applyBorder="1" applyAlignment="1" applyProtection="1">
      <alignment horizontal="left"/>
      <protection locked="0"/>
    </xf>
    <xf numFmtId="9" fontId="44" fillId="0" borderId="2" xfId="4" applyNumberFormat="1" applyFont="1" applyFill="1" applyBorder="1" applyAlignment="1" applyProtection="1">
      <alignment horizontal="left"/>
      <protection locked="0"/>
    </xf>
    <xf numFmtId="0" fontId="13" fillId="0" borderId="9" xfId="4" applyFont="1" applyBorder="1"/>
    <xf numFmtId="0" fontId="13" fillId="0" borderId="36" xfId="4" applyFont="1" applyBorder="1"/>
    <xf numFmtId="0" fontId="13" fillId="0" borderId="22" xfId="4" applyFont="1" applyBorder="1"/>
    <xf numFmtId="0" fontId="13" fillId="0" borderId="1" xfId="4" applyFont="1" applyFill="1" applyBorder="1" applyAlignment="1" applyProtection="1">
      <alignment horizontal="left"/>
      <protection locked="0"/>
    </xf>
    <xf numFmtId="0" fontId="5" fillId="0" borderId="5"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43" fillId="5" borderId="9" xfId="0" applyFont="1" applyFill="1" applyBorder="1" applyAlignment="1" applyProtection="1">
      <alignment horizontal="right"/>
      <protection locked="0"/>
    </xf>
    <xf numFmtId="0" fontId="43" fillId="5" borderId="36" xfId="0" applyFont="1" applyFill="1" applyBorder="1" applyAlignment="1" applyProtection="1">
      <alignment horizontal="right"/>
      <protection locked="0"/>
    </xf>
    <xf numFmtId="0" fontId="5" fillId="2" borderId="23" xfId="0" applyFont="1" applyFill="1" applyBorder="1" applyAlignment="1" applyProtection="1">
      <alignment horizontal="center" wrapText="1"/>
      <protection locked="0"/>
    </xf>
    <xf numFmtId="0" fontId="5" fillId="2" borderId="24" xfId="0" applyFont="1" applyFill="1" applyBorder="1" applyAlignment="1" applyProtection="1">
      <alignment horizontal="center" wrapText="1"/>
      <protection locked="0"/>
    </xf>
    <xf numFmtId="0" fontId="5" fillId="2" borderId="25" xfId="0" applyFont="1" applyFill="1" applyBorder="1" applyAlignment="1" applyProtection="1">
      <alignment horizontal="center" wrapText="1"/>
      <protection locked="0"/>
    </xf>
    <xf numFmtId="0" fontId="11" fillId="11" borderId="10" xfId="4" applyFont="1" applyFill="1" applyBorder="1" applyAlignment="1" applyProtection="1">
      <alignment horizontal="center"/>
      <protection locked="0"/>
    </xf>
    <xf numFmtId="0" fontId="11" fillId="11" borderId="12" xfId="4" applyFont="1" applyFill="1" applyBorder="1" applyAlignment="1" applyProtection="1">
      <alignment horizontal="center"/>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43" fontId="4" fillId="0" borderId="6" xfId="1" applyFont="1" applyBorder="1" applyAlignment="1" applyProtection="1">
      <alignment horizontal="center" wrapText="1"/>
      <protection locked="0"/>
    </xf>
    <xf numFmtId="43" fontId="4" fillId="0" borderId="3" xfId="1" applyFont="1" applyBorder="1" applyAlignment="1" applyProtection="1">
      <alignment horizontal="center" wrapText="1"/>
      <protection locked="0"/>
    </xf>
    <xf numFmtId="0" fontId="8" fillId="0" borderId="5" xfId="0" applyFont="1" applyBorder="1" applyAlignment="1" applyProtection="1">
      <alignment horizontal="center" wrapText="1"/>
      <protection locked="0"/>
    </xf>
    <xf numFmtId="0" fontId="8" fillId="0" borderId="4" xfId="0" applyFont="1" applyBorder="1" applyAlignment="1" applyProtection="1">
      <alignment horizontal="center" wrapText="1"/>
      <protection locked="0"/>
    </xf>
    <xf numFmtId="43" fontId="4" fillId="0" borderId="5" xfId="1" applyFont="1" applyBorder="1" applyAlignment="1" applyProtection="1">
      <alignment horizontal="center" wrapText="1"/>
      <protection locked="0"/>
    </xf>
    <xf numFmtId="43" fontId="4" fillId="0" borderId="4" xfId="1" applyFont="1" applyBorder="1" applyAlignment="1" applyProtection="1">
      <alignment horizontal="center" wrapText="1"/>
      <protection locked="0"/>
    </xf>
    <xf numFmtId="0" fontId="31" fillId="0" borderId="6" xfId="6" applyFont="1" applyBorder="1" applyAlignment="1" applyProtection="1">
      <alignment horizontal="left" vertical="top" wrapText="1"/>
      <protection locked="0"/>
    </xf>
    <xf numFmtId="0" fontId="31" fillId="0" borderId="38" xfId="6" applyFont="1" applyBorder="1" applyAlignment="1" applyProtection="1">
      <alignment horizontal="left" vertical="top" wrapText="1"/>
      <protection locked="0"/>
    </xf>
    <xf numFmtId="0" fontId="31" fillId="0" borderId="7" xfId="6" applyFont="1" applyBorder="1" applyAlignment="1" applyProtection="1">
      <alignment horizontal="left" vertical="top" wrapText="1"/>
      <protection locked="0"/>
    </xf>
    <xf numFmtId="0" fontId="31" fillId="0" borderId="3" xfId="6" applyFont="1" applyBorder="1" applyAlignment="1" applyProtection="1">
      <alignment horizontal="left" vertical="top" wrapText="1"/>
      <protection locked="0"/>
    </xf>
    <xf numFmtId="0" fontId="31" fillId="0" borderId="37" xfId="6" applyFont="1" applyBorder="1" applyAlignment="1" applyProtection="1">
      <alignment horizontal="left" vertical="top" wrapText="1"/>
      <protection locked="0"/>
    </xf>
    <xf numFmtId="0" fontId="31" fillId="0" borderId="8" xfId="6" applyFont="1" applyBorder="1" applyAlignment="1" applyProtection="1">
      <alignment horizontal="left" vertical="top" wrapText="1"/>
      <protection locked="0"/>
    </xf>
    <xf numFmtId="0" fontId="67" fillId="0" borderId="1" xfId="6" applyFont="1" applyBorder="1" applyAlignment="1" applyProtection="1">
      <alignment horizontal="left" vertical="top" wrapText="1"/>
      <protection locked="0"/>
    </xf>
    <xf numFmtId="0" fontId="29" fillId="0" borderId="6" xfId="0" applyFont="1" applyBorder="1" applyAlignment="1" applyProtection="1">
      <alignment horizontal="center" vertical="top"/>
      <protection locked="0"/>
    </xf>
    <xf numFmtId="0" fontId="29" fillId="0" borderId="3" xfId="0" applyFont="1" applyBorder="1" applyAlignment="1" applyProtection="1">
      <alignment horizontal="center" vertical="top"/>
      <protection locked="0"/>
    </xf>
    <xf numFmtId="0" fontId="28" fillId="8" borderId="9" xfId="0" applyFont="1" applyFill="1" applyBorder="1" applyAlignment="1" applyProtection="1">
      <alignment horizontal="center"/>
      <protection locked="0"/>
    </xf>
    <xf numFmtId="0" fontId="28" fillId="8" borderId="36" xfId="0" applyFont="1" applyFill="1" applyBorder="1" applyAlignment="1" applyProtection="1">
      <alignment horizontal="center"/>
      <protection locked="0"/>
    </xf>
    <xf numFmtId="0" fontId="28" fillId="8" borderId="22" xfId="0" applyFont="1" applyFill="1" applyBorder="1" applyAlignment="1" applyProtection="1">
      <alignment horizontal="center"/>
      <protection locked="0"/>
    </xf>
    <xf numFmtId="0" fontId="4" fillId="0" borderId="23" xfId="0" applyFont="1" applyBorder="1" applyAlignment="1" applyProtection="1">
      <alignment horizontal="left" vertical="top" wrapText="1"/>
      <protection locked="0"/>
    </xf>
    <xf numFmtId="0" fontId="4" fillId="0" borderId="24" xfId="0" applyFont="1" applyBorder="1" applyAlignment="1" applyProtection="1">
      <alignment horizontal="left" vertical="top" wrapText="1"/>
      <protection locked="0"/>
    </xf>
    <xf numFmtId="0" fontId="4" fillId="0" borderId="25" xfId="0" applyFont="1" applyBorder="1" applyAlignment="1" applyProtection="1">
      <alignment horizontal="left" vertical="top" wrapText="1"/>
      <protection locked="0"/>
    </xf>
    <xf numFmtId="0" fontId="44" fillId="0" borderId="5" xfId="4" applyFont="1" applyFill="1" applyBorder="1" applyAlignment="1" applyProtection="1">
      <alignment horizontal="left" vertical="center"/>
      <protection locked="0"/>
    </xf>
    <xf numFmtId="0" fontId="11" fillId="5" borderId="10" xfId="4" applyFont="1" applyFill="1" applyBorder="1" applyAlignment="1" applyProtection="1">
      <alignment horizontal="center"/>
      <protection locked="0"/>
    </xf>
    <xf numFmtId="0" fontId="11" fillId="5" borderId="12" xfId="4" applyFont="1" applyFill="1" applyBorder="1" applyAlignment="1" applyProtection="1">
      <alignment horizontal="center"/>
      <protection locked="0"/>
    </xf>
    <xf numFmtId="49" fontId="11" fillId="5" borderId="10" xfId="3" applyNumberFormat="1" applyFont="1" applyFill="1" applyBorder="1" applyAlignment="1" applyProtection="1">
      <alignment horizontal="center"/>
      <protection locked="0"/>
    </xf>
    <xf numFmtId="49" fontId="11" fillId="5" borderId="12" xfId="3" applyNumberFormat="1" applyFont="1" applyFill="1" applyBorder="1" applyAlignment="1" applyProtection="1">
      <alignment horizontal="center"/>
      <protection locked="0"/>
    </xf>
    <xf numFmtId="0" fontId="4" fillId="2" borderId="9" xfId="0" applyFont="1" applyFill="1" applyBorder="1" applyAlignment="1" applyProtection="1">
      <alignment horizontal="center"/>
      <protection locked="0"/>
    </xf>
    <xf numFmtId="0" fontId="4" fillId="2" borderId="36" xfId="0" applyFont="1" applyFill="1" applyBorder="1" applyAlignment="1" applyProtection="1">
      <alignment horizontal="center"/>
      <protection locked="0"/>
    </xf>
    <xf numFmtId="0" fontId="4" fillId="2" borderId="22" xfId="0" applyFont="1" applyFill="1" applyBorder="1" applyAlignment="1" applyProtection="1">
      <alignment horizontal="center"/>
      <protection locked="0"/>
    </xf>
    <xf numFmtId="0" fontId="24" fillId="6" borderId="9" xfId="0" applyFont="1" applyFill="1" applyBorder="1" applyAlignment="1" applyProtection="1">
      <alignment horizontal="left"/>
      <protection locked="0"/>
    </xf>
    <xf numFmtId="0" fontId="24" fillId="6" borderId="22" xfId="0" applyFont="1" applyFill="1" applyBorder="1" applyAlignment="1" applyProtection="1">
      <alignment horizontal="left"/>
      <protection locked="0"/>
    </xf>
    <xf numFmtId="0" fontId="5" fillId="0" borderId="0" xfId="0" applyFont="1" applyAlignment="1" applyProtection="1">
      <alignment horizontal="right"/>
      <protection locked="0"/>
    </xf>
    <xf numFmtId="0" fontId="5" fillId="0" borderId="2" xfId="0" applyFont="1" applyBorder="1" applyAlignment="1" applyProtection="1">
      <alignment horizontal="right"/>
      <protection locked="0"/>
    </xf>
    <xf numFmtId="0" fontId="43" fillId="5" borderId="1" xfId="0" applyFont="1" applyFill="1" applyBorder="1" applyAlignment="1" applyProtection="1">
      <alignment horizontal="right"/>
      <protection locked="0"/>
    </xf>
    <xf numFmtId="0" fontId="5" fillId="0" borderId="1" xfId="0" applyFont="1" applyBorder="1" applyAlignment="1" applyProtection="1">
      <alignment horizontal="right"/>
      <protection locked="0"/>
    </xf>
    <xf numFmtId="0" fontId="4" fillId="13" borderId="3" xfId="0" applyFont="1" applyFill="1" applyBorder="1" applyAlignment="1" applyProtection="1">
      <alignment horizontal="left"/>
      <protection locked="0"/>
    </xf>
    <xf numFmtId="0" fontId="4" fillId="13" borderId="37" xfId="0" applyFont="1" applyFill="1" applyBorder="1" applyAlignment="1" applyProtection="1">
      <alignment horizontal="left"/>
      <protection locked="0"/>
    </xf>
    <xf numFmtId="0" fontId="13" fillId="0" borderId="0" xfId="4" applyFont="1" applyAlignment="1" applyProtection="1">
      <alignment horizontal="left"/>
      <protection locked="0"/>
    </xf>
    <xf numFmtId="0" fontId="5" fillId="0" borderId="38" xfId="0" applyFont="1" applyBorder="1" applyAlignment="1" applyProtection="1">
      <alignment horizontal="right"/>
      <protection locked="0"/>
    </xf>
    <xf numFmtId="0" fontId="5" fillId="0" borderId="7" xfId="0" applyFont="1" applyBorder="1" applyAlignment="1" applyProtection="1">
      <alignment horizontal="right"/>
      <protection locked="0"/>
    </xf>
    <xf numFmtId="0" fontId="4" fillId="0" borderId="0" xfId="0" applyFont="1" applyAlignment="1" applyProtection="1">
      <alignment horizontal="right"/>
      <protection locked="0"/>
    </xf>
    <xf numFmtId="0" fontId="4" fillId="0" borderId="2" xfId="0" applyFont="1" applyBorder="1" applyAlignment="1" applyProtection="1">
      <alignment horizontal="right"/>
      <protection locked="0"/>
    </xf>
    <xf numFmtId="0" fontId="5" fillId="13" borderId="4" xfId="0" applyFont="1" applyFill="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37" xfId="0" applyFont="1" applyBorder="1" applyAlignment="1" applyProtection="1">
      <alignment horizontal="left"/>
      <protection locked="0"/>
    </xf>
    <xf numFmtId="0" fontId="3" fillId="2" borderId="1" xfId="0" applyFont="1" applyFill="1" applyBorder="1" applyAlignment="1" applyProtection="1">
      <alignment horizontal="center"/>
      <protection locked="0"/>
    </xf>
    <xf numFmtId="0" fontId="5" fillId="5" borderId="67" xfId="0" applyFont="1" applyFill="1" applyBorder="1" applyAlignment="1">
      <alignment horizontal="center"/>
    </xf>
    <xf numFmtId="0" fontId="5" fillId="5" borderId="66" xfId="0" applyFont="1" applyFill="1" applyBorder="1" applyAlignment="1">
      <alignment horizontal="center"/>
    </xf>
    <xf numFmtId="0" fontId="5" fillId="5" borderId="68" xfId="0" applyFont="1" applyFill="1" applyBorder="1" applyAlignment="1">
      <alignment horizontal="center"/>
    </xf>
    <xf numFmtId="0" fontId="5" fillId="0" borderId="67" xfId="0" applyFont="1" applyBorder="1" applyAlignment="1">
      <alignment horizontal="center"/>
    </xf>
    <xf numFmtId="0" fontId="5" fillId="0" borderId="66" xfId="0" applyFont="1" applyBorder="1" applyAlignment="1">
      <alignment horizontal="center"/>
    </xf>
    <xf numFmtId="0" fontId="5" fillId="0" borderId="68"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18" borderId="48" xfId="0" applyFont="1" applyFill="1" applyBorder="1" applyAlignment="1">
      <alignment horizontal="center"/>
    </xf>
    <xf numFmtId="0" fontId="4" fillId="18" borderId="46" xfId="0" applyFont="1" applyFill="1" applyBorder="1" applyAlignment="1">
      <alignment horizontal="center"/>
    </xf>
    <xf numFmtId="0" fontId="4" fillId="18" borderId="47" xfId="0" applyFont="1" applyFill="1" applyBorder="1" applyAlignment="1">
      <alignment horizontal="center"/>
    </xf>
    <xf numFmtId="0" fontId="4" fillId="18" borderId="58" xfId="0" applyFont="1" applyFill="1" applyBorder="1" applyAlignment="1">
      <alignment horizontal="center"/>
    </xf>
    <xf numFmtId="0" fontId="4" fillId="18" borderId="37" xfId="0" applyFont="1" applyFill="1" applyBorder="1" applyAlignment="1">
      <alignment horizontal="center"/>
    </xf>
    <xf numFmtId="0" fontId="4" fillId="18" borderId="62" xfId="0" applyFont="1" applyFill="1" applyBorder="1" applyAlignment="1">
      <alignment horizontal="center"/>
    </xf>
    <xf numFmtId="0" fontId="5" fillId="19" borderId="67" xfId="0" applyFont="1" applyFill="1" applyBorder="1" applyAlignment="1">
      <alignment horizontal="center"/>
    </xf>
    <xf numFmtId="0" fontId="5" fillId="19" borderId="66" xfId="0" applyFont="1" applyFill="1" applyBorder="1" applyAlignment="1">
      <alignment horizontal="center"/>
    </xf>
    <xf numFmtId="0" fontId="5" fillId="19" borderId="68" xfId="0" applyFont="1" applyFill="1" applyBorder="1" applyAlignment="1">
      <alignment horizontal="center"/>
    </xf>
    <xf numFmtId="0" fontId="4" fillId="0" borderId="13" xfId="0" applyFont="1" applyBorder="1" applyAlignment="1">
      <alignment horizontal="center"/>
    </xf>
    <xf numFmtId="0" fontId="4" fillId="0" borderId="1" xfId="0" applyFont="1" applyBorder="1" applyAlignment="1">
      <alignment horizontal="center"/>
    </xf>
    <xf numFmtId="0" fontId="4" fillId="0" borderId="14" xfId="0" applyFont="1" applyBorder="1" applyAlignment="1">
      <alignment horizontal="center"/>
    </xf>
    <xf numFmtId="0" fontId="4" fillId="19" borderId="15" xfId="0" applyFont="1" applyFill="1" applyBorder="1" applyAlignment="1">
      <alignment horizontal="right" wrapText="1"/>
    </xf>
    <xf numFmtId="0" fontId="4" fillId="19" borderId="16" xfId="0" applyFont="1" applyFill="1" applyBorder="1" applyAlignment="1">
      <alignment horizontal="right" wrapText="1"/>
    </xf>
    <xf numFmtId="0" fontId="4" fillId="5" borderId="15" xfId="0" applyFont="1" applyFill="1" applyBorder="1" applyAlignment="1">
      <alignment horizontal="right" wrapText="1"/>
    </xf>
    <xf numFmtId="0" fontId="4" fillId="5" borderId="16" xfId="0" applyFont="1" applyFill="1" applyBorder="1" applyAlignment="1">
      <alignment horizontal="right" wrapText="1"/>
    </xf>
    <xf numFmtId="0" fontId="4" fillId="4" borderId="15" xfId="0" applyFont="1" applyFill="1" applyBorder="1" applyAlignment="1">
      <alignment horizontal="right" wrapText="1"/>
    </xf>
    <xf numFmtId="0" fontId="4" fillId="4" borderId="16" xfId="0" applyFont="1" applyFill="1" applyBorder="1" applyAlignment="1">
      <alignment horizontal="right" wrapText="1"/>
    </xf>
    <xf numFmtId="0" fontId="5" fillId="0" borderId="42" xfId="0" applyFont="1" applyBorder="1" applyAlignment="1" applyProtection="1">
      <alignment horizontal="left"/>
      <protection locked="0"/>
    </xf>
    <xf numFmtId="0" fontId="5" fillId="0" borderId="43" xfId="0" applyFont="1" applyBorder="1" applyAlignment="1" applyProtection="1">
      <alignment horizontal="left"/>
      <protection locked="0"/>
    </xf>
    <xf numFmtId="0" fontId="4" fillId="0" borderId="45" xfId="0" applyFont="1" applyBorder="1" applyAlignment="1">
      <alignment horizontal="left"/>
    </xf>
    <xf numFmtId="0" fontId="4" fillId="0" borderId="43" xfId="0" applyFont="1" applyBorder="1" applyAlignment="1">
      <alignment horizontal="left"/>
    </xf>
    <xf numFmtId="0" fontId="4" fillId="0" borderId="33" xfId="0" applyFont="1" applyBorder="1" applyAlignment="1">
      <alignment horizontal="left"/>
    </xf>
    <xf numFmtId="0" fontId="5" fillId="0" borderId="45" xfId="0" applyFont="1" applyBorder="1" applyAlignment="1" applyProtection="1">
      <alignment horizontal="right"/>
      <protection locked="0"/>
    </xf>
    <xf numFmtId="0" fontId="5" fillId="0" borderId="43" xfId="0" applyFont="1" applyBorder="1" applyAlignment="1" applyProtection="1">
      <alignment horizontal="right"/>
      <protection locked="0"/>
    </xf>
    <xf numFmtId="0" fontId="5" fillId="0" borderId="33" xfId="0" applyFont="1" applyBorder="1" applyAlignment="1" applyProtection="1">
      <alignment horizontal="right"/>
      <protection locked="0"/>
    </xf>
    <xf numFmtId="0" fontId="4" fillId="3" borderId="36" xfId="0" applyFont="1" applyFill="1" applyBorder="1" applyAlignment="1">
      <alignment horizontal="left"/>
    </xf>
    <xf numFmtId="0" fontId="4" fillId="3" borderId="22" xfId="0" applyFont="1" applyFill="1" applyBorder="1" applyAlignment="1">
      <alignment horizontal="left"/>
    </xf>
    <xf numFmtId="0" fontId="43" fillId="3" borderId="39" xfId="0" applyFont="1" applyFill="1" applyBorder="1" applyAlignment="1" applyProtection="1">
      <alignment horizontal="right"/>
      <protection locked="0"/>
    </xf>
    <xf numFmtId="0" fontId="43" fillId="5" borderId="39" xfId="0" applyFont="1" applyFill="1" applyBorder="1" applyAlignment="1" applyProtection="1">
      <alignment horizontal="right"/>
      <protection locked="0"/>
    </xf>
    <xf numFmtId="0" fontId="4" fillId="4" borderId="1" xfId="0" applyFont="1" applyFill="1" applyBorder="1" applyAlignment="1">
      <alignment horizontal="left"/>
    </xf>
    <xf numFmtId="43" fontId="5" fillId="0" borderId="14" xfId="1" applyFont="1" applyBorder="1" applyAlignment="1" applyProtection="1">
      <alignment horizontal="center" wrapText="1"/>
      <protection locked="0"/>
    </xf>
    <xf numFmtId="0" fontId="43" fillId="2" borderId="39" xfId="0" applyFont="1" applyFill="1" applyBorder="1" applyAlignment="1" applyProtection="1">
      <alignment horizontal="left"/>
      <protection locked="0"/>
    </xf>
    <xf numFmtId="0" fontId="26" fillId="4" borderId="9" xfId="0" applyFont="1" applyFill="1" applyBorder="1" applyAlignment="1" applyProtection="1">
      <alignment horizontal="left" wrapText="1"/>
      <protection locked="0"/>
    </xf>
    <xf numFmtId="0" fontId="26" fillId="4" borderId="36" xfId="0" applyFont="1" applyFill="1" applyBorder="1" applyAlignment="1" applyProtection="1">
      <alignment horizontal="left" wrapText="1"/>
      <protection locked="0"/>
    </xf>
    <xf numFmtId="0" fontId="26" fillId="4" borderId="22" xfId="0" applyFont="1" applyFill="1" applyBorder="1" applyAlignment="1" applyProtection="1">
      <alignment horizontal="left" wrapText="1"/>
      <protection locked="0"/>
    </xf>
    <xf numFmtId="0" fontId="5" fillId="0" borderId="1" xfId="0" applyFont="1" applyBorder="1" applyAlignment="1" applyProtection="1">
      <alignment horizontal="left"/>
      <protection locked="0"/>
    </xf>
    <xf numFmtId="0" fontId="43" fillId="5" borderId="13" xfId="0" applyFont="1" applyFill="1" applyBorder="1" applyAlignment="1" applyProtection="1">
      <alignment horizontal="right"/>
      <protection locked="0"/>
    </xf>
    <xf numFmtId="0" fontId="43" fillId="12" borderId="1" xfId="0" applyFont="1" applyFill="1" applyBorder="1" applyAlignment="1" applyProtection="1">
      <alignment horizontal="center"/>
      <protection locked="0"/>
    </xf>
    <xf numFmtId="0" fontId="43" fillId="2" borderId="44" xfId="0" applyFont="1" applyFill="1" applyBorder="1" applyAlignment="1" applyProtection="1">
      <alignment horizontal="left"/>
      <protection locked="0"/>
    </xf>
    <xf numFmtId="0" fontId="7" fillId="15" borderId="9" xfId="0" applyFont="1" applyFill="1" applyBorder="1" applyAlignment="1" applyProtection="1">
      <alignment horizontal="center"/>
      <protection locked="0"/>
    </xf>
    <xf numFmtId="0" fontId="7" fillId="15" borderId="36" xfId="0" applyFont="1" applyFill="1" applyBorder="1" applyAlignment="1" applyProtection="1">
      <alignment horizontal="center"/>
      <protection locked="0"/>
    </xf>
    <xf numFmtId="0" fontId="7" fillId="15" borderId="22" xfId="0" applyFont="1" applyFill="1" applyBorder="1" applyAlignment="1" applyProtection="1">
      <alignment horizontal="center"/>
      <protection locked="0"/>
    </xf>
    <xf numFmtId="0" fontId="12" fillId="0" borderId="9" xfId="0" applyFont="1" applyBorder="1" applyAlignment="1" applyProtection="1">
      <alignment horizontal="left" indent="1"/>
      <protection locked="0"/>
    </xf>
    <xf numFmtId="0" fontId="12" fillId="0" borderId="36" xfId="0" applyFont="1" applyBorder="1" applyAlignment="1" applyProtection="1">
      <alignment horizontal="left" indent="1"/>
      <protection locked="0"/>
    </xf>
    <xf numFmtId="0" fontId="12" fillId="0" borderId="22" xfId="0" applyFont="1" applyBorder="1" applyAlignment="1" applyProtection="1">
      <alignment horizontal="left" indent="1"/>
      <protection locked="0"/>
    </xf>
    <xf numFmtId="5" fontId="12" fillId="0" borderId="9" xfId="0" applyNumberFormat="1" applyFont="1" applyBorder="1" applyAlignment="1" applyProtection="1">
      <alignment horizontal="center"/>
      <protection locked="0"/>
    </xf>
    <xf numFmtId="5" fontId="12" fillId="0" borderId="22" xfId="0" applyNumberFormat="1" applyFont="1" applyBorder="1" applyAlignment="1" applyProtection="1">
      <alignment horizontal="center"/>
      <protection locked="0"/>
    </xf>
    <xf numFmtId="0" fontId="11" fillId="0" borderId="39" xfId="0" applyFont="1" applyBorder="1" applyAlignment="1" applyProtection="1">
      <alignment horizontal="left" wrapText="1"/>
      <protection locked="0"/>
    </xf>
    <xf numFmtId="0" fontId="11" fillId="0" borderId="36" xfId="0" applyFont="1" applyBorder="1" applyAlignment="1" applyProtection="1">
      <alignment horizontal="left" wrapText="1"/>
      <protection locked="0"/>
    </xf>
    <xf numFmtId="0" fontId="11" fillId="0" borderId="22" xfId="0" applyFont="1" applyBorder="1" applyAlignment="1" applyProtection="1">
      <alignment horizontal="left" wrapText="1"/>
      <protection locked="0"/>
    </xf>
    <xf numFmtId="0" fontId="11" fillId="0" borderId="58" xfId="0" applyFont="1" applyBorder="1" applyAlignment="1" applyProtection="1">
      <alignment horizontal="left" wrapText="1"/>
      <protection locked="0"/>
    </xf>
    <xf numFmtId="0" fontId="11" fillId="0" borderId="37" xfId="0" applyFont="1" applyBorder="1" applyAlignment="1" applyProtection="1">
      <alignment horizontal="left" wrapText="1"/>
      <protection locked="0"/>
    </xf>
    <xf numFmtId="0" fontId="11" fillId="0" borderId="8" xfId="0" applyFont="1" applyBorder="1" applyAlignment="1" applyProtection="1">
      <alignment horizontal="left" wrapText="1"/>
      <protection locked="0"/>
    </xf>
    <xf numFmtId="0" fontId="11" fillId="0" borderId="53" xfId="0" applyFont="1" applyBorder="1" applyAlignment="1" applyProtection="1">
      <alignment horizontal="left" wrapText="1"/>
      <protection locked="0"/>
    </xf>
    <xf numFmtId="0" fontId="11" fillId="0" borderId="31" xfId="0" applyFont="1" applyBorder="1" applyAlignment="1" applyProtection="1">
      <alignment horizontal="left" wrapText="1"/>
      <protection locked="0"/>
    </xf>
    <xf numFmtId="0" fontId="11" fillId="0" borderId="63" xfId="0" applyFont="1" applyBorder="1" applyAlignment="1" applyProtection="1">
      <alignment horizontal="left" wrapText="1"/>
      <protection locked="0"/>
    </xf>
    <xf numFmtId="0" fontId="16" fillId="0" borderId="0" xfId="0" applyFont="1" applyAlignment="1" applyProtection="1">
      <alignment horizontal="left" vertical="top" wrapText="1"/>
      <protection locked="0"/>
    </xf>
    <xf numFmtId="0" fontId="16" fillId="0" borderId="0" xfId="0" applyFont="1" applyAlignment="1" applyProtection="1">
      <alignment vertical="top" wrapText="1"/>
      <protection locked="0"/>
    </xf>
    <xf numFmtId="0" fontId="16" fillId="0" borderId="0" xfId="0" applyFont="1" applyAlignment="1" applyProtection="1">
      <alignment vertical="top"/>
      <protection locked="0"/>
    </xf>
    <xf numFmtId="0" fontId="11" fillId="0" borderId="9"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11" fillId="0" borderId="46" xfId="0" applyFont="1" applyBorder="1" applyAlignment="1" applyProtection="1">
      <alignment horizontal="center" wrapText="1"/>
      <protection locked="0"/>
    </xf>
    <xf numFmtId="0" fontId="3"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2" fillId="0" borderId="0" xfId="0" applyFont="1" applyAlignment="1" applyProtection="1">
      <alignment horizontal="left" vertical="center"/>
      <protection locked="0"/>
    </xf>
    <xf numFmtId="0" fontId="53" fillId="0" borderId="0" xfId="0" applyFont="1" applyAlignment="1" applyProtection="1">
      <alignment horizontal="left" vertical="center"/>
      <protection locked="0"/>
    </xf>
    <xf numFmtId="0" fontId="59" fillId="0" borderId="40" xfId="4" applyFont="1" applyBorder="1" applyAlignment="1" applyProtection="1">
      <alignment horizontal="left"/>
      <protection locked="0"/>
    </xf>
    <xf numFmtId="0" fontId="59" fillId="0" borderId="0" xfId="4" applyFont="1" applyBorder="1" applyAlignment="1" applyProtection="1">
      <alignment horizontal="left"/>
      <protection locked="0"/>
    </xf>
    <xf numFmtId="0" fontId="4" fillId="0" borderId="40" xfId="0" applyFont="1" applyBorder="1" applyAlignment="1" applyProtection="1">
      <alignment horizontal="left" wrapText="1"/>
      <protection locked="0"/>
    </xf>
    <xf numFmtId="0" fontId="62" fillId="0" borderId="0" xfId="0" applyFont="1" applyAlignment="1" applyProtection="1">
      <alignment horizontal="left" wrapText="1"/>
      <protection locked="0"/>
    </xf>
    <xf numFmtId="0" fontId="11" fillId="0" borderId="0" xfId="0" applyFont="1" applyAlignment="1" applyProtection="1">
      <alignment horizontal="right"/>
      <protection locked="0"/>
    </xf>
    <xf numFmtId="0" fontId="12" fillId="0" borderId="0" xfId="0" applyFont="1" applyAlignment="1" applyProtection="1">
      <alignment horizontal="left"/>
      <protection locked="0"/>
    </xf>
    <xf numFmtId="0" fontId="50" fillId="0" borderId="40" xfId="0" applyFont="1" applyBorder="1" applyAlignment="1" applyProtection="1">
      <alignment horizontal="left" vertical="center"/>
      <protection locked="0"/>
    </xf>
    <xf numFmtId="0" fontId="50" fillId="0" borderId="0" xfId="0" applyFont="1" applyAlignment="1" applyProtection="1">
      <alignment horizontal="left" vertical="center"/>
      <protection locked="0"/>
    </xf>
    <xf numFmtId="0" fontId="11" fillId="0" borderId="28" xfId="0" applyFont="1" applyBorder="1" applyAlignment="1" applyProtection="1">
      <alignment vertical="center" wrapText="1"/>
      <protection locked="0"/>
    </xf>
    <xf numFmtId="0" fontId="11" fillId="0" borderId="29" xfId="0" applyFont="1" applyBorder="1" applyAlignment="1" applyProtection="1">
      <alignment vertical="center" wrapText="1"/>
      <protection locked="0"/>
    </xf>
    <xf numFmtId="0" fontId="11" fillId="0" borderId="51" xfId="0" applyFont="1" applyBorder="1" applyAlignment="1" applyProtection="1">
      <alignment vertical="center" wrapText="1"/>
      <protection locked="0"/>
    </xf>
    <xf numFmtId="0" fontId="12" fillId="0" borderId="0" xfId="0" applyFont="1" applyAlignment="1" applyProtection="1">
      <alignment horizontal="left" wrapText="1"/>
      <protection locked="0"/>
    </xf>
    <xf numFmtId="0" fontId="47" fillId="0" borderId="0" xfId="0" applyFont="1" applyAlignment="1" applyProtection="1">
      <alignment horizontal="left"/>
      <protection locked="0"/>
    </xf>
    <xf numFmtId="0" fontId="12" fillId="0" borderId="37" xfId="0" applyFont="1" applyBorder="1" applyAlignment="1" applyProtection="1">
      <alignment horizontal="left"/>
      <protection locked="0"/>
    </xf>
    <xf numFmtId="0" fontId="5" fillId="0" borderId="9" xfId="0" applyFont="1" applyBorder="1" applyAlignment="1">
      <alignment horizontal="left"/>
    </xf>
    <xf numFmtId="0" fontId="5" fillId="0" borderId="36" xfId="0" applyFont="1" applyBorder="1" applyAlignment="1">
      <alignment horizontal="left"/>
    </xf>
    <xf numFmtId="0" fontId="5" fillId="0" borderId="22" xfId="0" applyFont="1" applyBorder="1" applyAlignment="1">
      <alignment horizontal="left"/>
    </xf>
    <xf numFmtId="0" fontId="4" fillId="2" borderId="9" xfId="0" applyFont="1" applyFill="1" applyBorder="1" applyAlignment="1">
      <alignment horizontal="left"/>
    </xf>
    <xf numFmtId="0" fontId="4" fillId="2" borderId="36" xfId="0" applyFont="1" applyFill="1" applyBorder="1" applyAlignment="1">
      <alignment horizontal="left"/>
    </xf>
    <xf numFmtId="0" fontId="4" fillId="2" borderId="22" xfId="0" applyFont="1" applyFill="1" applyBorder="1" applyAlignment="1">
      <alignment horizontal="left"/>
    </xf>
  </cellXfs>
  <cellStyles count="7">
    <cellStyle name="Comma" xfId="1" builtinId="3"/>
    <cellStyle name="Comma 11" xfId="5" xr:uid="{00000000-0005-0000-0000-000001000000}"/>
    <cellStyle name="Currency" xfId="2" builtinId="4"/>
    <cellStyle name="Hyperlink" xfId="4" builtinId="8"/>
    <cellStyle name="Normal" xfId="0" builtinId="0"/>
    <cellStyle name="Normal 3" xfId="6" xr:uid="{00000000-0005-0000-0000-000005000000}"/>
    <cellStyle name="Percent" xfId="3" builtinId="5"/>
  </cellStyles>
  <dxfs count="12">
    <dxf>
      <fill>
        <patternFill>
          <bgColor theme="7" tint="0.79998168889431442"/>
        </patternFill>
      </fill>
    </dxf>
    <dxf>
      <font>
        <strike val="0"/>
        <color theme="0"/>
      </font>
      <border>
        <left/>
        <right/>
        <top/>
        <bottom/>
        <vertical/>
        <horizontal/>
      </border>
    </dxf>
    <dxf>
      <fill>
        <patternFill>
          <bgColor theme="7" tint="0.79998168889431442"/>
        </patternFill>
      </fill>
    </dxf>
    <dxf>
      <fill>
        <patternFill>
          <bgColor theme="7" tint="0.79998168889431442"/>
        </patternFill>
      </fill>
    </dxf>
    <dxf>
      <font>
        <strike val="0"/>
        <color theme="0"/>
      </font>
      <border>
        <left/>
        <right/>
        <top/>
        <bottom/>
        <vertical/>
        <horizontal/>
      </border>
    </dxf>
    <dxf>
      <fill>
        <patternFill>
          <bgColor theme="7" tint="0.79998168889431442"/>
        </patternFill>
      </fill>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33CC33"/>
      <color rgb="FF0000FF"/>
      <color rgb="FFFFFFE1"/>
      <color rgb="FFFFFFCC"/>
      <color rgb="FFFFF8E5"/>
      <color rgb="FF00CC00"/>
      <color rgb="FF66CCFF"/>
      <color rgb="FFFFE699"/>
      <color rgb="FFFFCC99"/>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17</xdr:col>
      <xdr:colOff>28575</xdr:colOff>
      <xdr:row>10</xdr:row>
      <xdr:rowOff>19050</xdr:rowOff>
    </xdr:from>
    <xdr:to>
      <xdr:col>17</xdr:col>
      <xdr:colOff>161925</xdr:colOff>
      <xdr:row>10</xdr:row>
      <xdr:rowOff>161925</xdr:rowOff>
    </xdr:to>
    <xdr:sp macro="" textlink="">
      <xdr:nvSpPr>
        <xdr:cNvPr id="5" name="Right Arrow 4">
          <a:extLst>
            <a:ext uri="{FF2B5EF4-FFF2-40B4-BE49-F238E27FC236}">
              <a16:creationId xmlns:a16="http://schemas.microsoft.com/office/drawing/2014/main" id="{00000000-0008-0000-0000-000005000000}"/>
            </a:ext>
          </a:extLst>
        </xdr:cNvPr>
        <xdr:cNvSpPr/>
      </xdr:nvSpPr>
      <xdr:spPr>
        <a:xfrm>
          <a:off x="11982450" y="2209800"/>
          <a:ext cx="13335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38100</xdr:colOff>
      <xdr:row>10</xdr:row>
      <xdr:rowOff>28575</xdr:rowOff>
    </xdr:from>
    <xdr:to>
      <xdr:col>19</xdr:col>
      <xdr:colOff>171450</xdr:colOff>
      <xdr:row>10</xdr:row>
      <xdr:rowOff>171450</xdr:rowOff>
    </xdr:to>
    <xdr:sp macro="" textlink="">
      <xdr:nvSpPr>
        <xdr:cNvPr id="6" name="Right Arrow 5">
          <a:extLst>
            <a:ext uri="{FF2B5EF4-FFF2-40B4-BE49-F238E27FC236}">
              <a16:creationId xmlns:a16="http://schemas.microsoft.com/office/drawing/2014/main" id="{00000000-0008-0000-0000-000006000000}"/>
            </a:ext>
          </a:extLst>
        </xdr:cNvPr>
        <xdr:cNvSpPr/>
      </xdr:nvSpPr>
      <xdr:spPr>
        <a:xfrm>
          <a:off x="13696950" y="2219325"/>
          <a:ext cx="13335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38100</xdr:colOff>
      <xdr:row>10</xdr:row>
      <xdr:rowOff>19050</xdr:rowOff>
    </xdr:from>
    <xdr:to>
      <xdr:col>21</xdr:col>
      <xdr:colOff>171450</xdr:colOff>
      <xdr:row>10</xdr:row>
      <xdr:rowOff>161925</xdr:rowOff>
    </xdr:to>
    <xdr:sp macro="" textlink="">
      <xdr:nvSpPr>
        <xdr:cNvPr id="7" name="Right Arrow 6">
          <a:extLst>
            <a:ext uri="{FF2B5EF4-FFF2-40B4-BE49-F238E27FC236}">
              <a16:creationId xmlns:a16="http://schemas.microsoft.com/office/drawing/2014/main" id="{00000000-0008-0000-0000-000007000000}"/>
            </a:ext>
          </a:extLst>
        </xdr:cNvPr>
        <xdr:cNvSpPr/>
      </xdr:nvSpPr>
      <xdr:spPr>
        <a:xfrm>
          <a:off x="15325725" y="2209800"/>
          <a:ext cx="13335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rey\Desktop\to%20be%20printed\Budget%20Template%20DRAFT%2011-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DGET"/>
      <sheetName val="COST SHARE BUDGET"/>
      <sheetName val="State of CA Composite Budget"/>
      <sheetName val="Blank Budget Form State of CA"/>
      <sheetName val="worksheet"/>
    </sheetNames>
    <sheetDataSet>
      <sheetData sheetId="0"/>
      <sheetData sheetId="1"/>
      <sheetData sheetId="2"/>
      <sheetData sheetId="3"/>
      <sheetData sheetId="4"/>
      <sheetData sheetId="5">
        <row r="53">
          <cell r="A53" t="str">
            <v>A</v>
          </cell>
        </row>
        <row r="54">
          <cell r="A54" t="str">
            <v>B</v>
          </cell>
        </row>
        <row r="55">
          <cell r="A55" t="str">
            <v>C</v>
          </cell>
        </row>
        <row r="56">
          <cell r="A56" t="str">
            <v>D</v>
          </cell>
        </row>
        <row r="57">
          <cell r="A57" t="str">
            <v>E</v>
          </cell>
        </row>
        <row r="58">
          <cell r="A58" t="str">
            <v>F</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sa.gov/travel/plan-a-trip/per-diem-rates/mie-breakdowns" TargetMode="External"/><Relationship Id="rId13" Type="http://schemas.openxmlformats.org/officeDocument/2006/relationships/hyperlink" Target="https://ucanr.edu/sites/default/files/2025-01/Benefit_Rates.xlsx" TargetMode="External"/><Relationship Id="rId18" Type="http://schemas.openxmlformats.org/officeDocument/2006/relationships/hyperlink" Target="https://ucanr.edu/site/anr-risk-services/gael-rate" TargetMode="External"/><Relationship Id="rId3" Type="http://schemas.openxmlformats.org/officeDocument/2006/relationships/hyperlink" Target="https://ucanr.edu/sites/default/files/2025-06/Benefit_Rates.xlsx" TargetMode="External"/><Relationship Id="rId21" Type="http://schemas.openxmlformats.org/officeDocument/2006/relationships/vmlDrawing" Target="../drawings/vmlDrawing1.vml"/><Relationship Id="rId7" Type="http://schemas.openxmlformats.org/officeDocument/2006/relationships/hyperlink" Target="https://supplychain.ucdavis.edu/travel-entertainment/travel/airfare-purchase" TargetMode="External"/><Relationship Id="rId12" Type="http://schemas.openxmlformats.org/officeDocument/2006/relationships/hyperlink" Target="http://ucanr.edu/sites/anrstaff/Administration/Business_Operations/Contracts_-_Grants/Proposals/Budget_Preparation/Direct_Costs/" TargetMode="External"/><Relationship Id="rId17" Type="http://schemas.openxmlformats.org/officeDocument/2006/relationships/hyperlink" Target="https://ucanr.edu/sites/Contracts_Grants/Proposals/Budget_Preparation/Subrecipients/" TargetMode="External"/><Relationship Id="rId2" Type="http://schemas.openxmlformats.org/officeDocument/2006/relationships/hyperlink" Target="http://ucanr.edu/sites/anrstaff/Personnel_Benefits/Academic_Personnel/" TargetMode="External"/><Relationship Id="rId16" Type="http://schemas.openxmlformats.org/officeDocument/2006/relationships/hyperlink" Target="https://ucanr.edu/site/office-contracts-and-grants/budget-preparation" TargetMode="External"/><Relationship Id="rId20" Type="http://schemas.openxmlformats.org/officeDocument/2006/relationships/drawing" Target="../drawings/drawing1.xml"/><Relationship Id="rId1" Type="http://schemas.openxmlformats.org/officeDocument/2006/relationships/hyperlink" Target="https://tcs.ucop.edu/tcs/jsp/nonAcademicTitlesSearch.htm" TargetMode="External"/><Relationship Id="rId6" Type="http://schemas.openxmlformats.org/officeDocument/2006/relationships/hyperlink" Target="https://www.irs.gov/tax-professionals/standard-mileage-rates" TargetMode="External"/><Relationship Id="rId11" Type="http://schemas.openxmlformats.org/officeDocument/2006/relationships/hyperlink" Target="http://ucanr.edu/sites/risk/Insurance/GAEL_Rate/" TargetMode="External"/><Relationship Id="rId5" Type="http://schemas.openxmlformats.org/officeDocument/2006/relationships/hyperlink" Target="https://supplychain.ucdavis.edu/travel-entertainment/travel/ground-transport" TargetMode="External"/><Relationship Id="rId15" Type="http://schemas.openxmlformats.org/officeDocument/2006/relationships/hyperlink" Target="https://ucanr.edu/sites/anrstaff/Personnel_Benefits/Academic_Personnel/" TargetMode="External"/><Relationship Id="rId10" Type="http://schemas.openxmlformats.org/officeDocument/2006/relationships/hyperlink" Target="https://supplychain.ucdavis.edu/travel-entertainment/travel/lodging" TargetMode="External"/><Relationship Id="rId19" Type="http://schemas.openxmlformats.org/officeDocument/2006/relationships/printerSettings" Target="../printerSettings/printerSettings1.bin"/><Relationship Id="rId4" Type="http://schemas.openxmlformats.org/officeDocument/2006/relationships/hyperlink" Target="http://afs.ucdavis.edu/our_services/travel-e-entertainment/travel/meals.html" TargetMode="External"/><Relationship Id="rId9" Type="http://schemas.openxmlformats.org/officeDocument/2006/relationships/hyperlink" Target="https://www.gsa.gov/travel/plan-book/per-diem-rates/per-diem-rates-results?action=perdiems_report&amp;fiscal_year=2025&amp;state=CA&amp;city=&amp;zip=" TargetMode="External"/><Relationship Id="rId14" Type="http://schemas.openxmlformats.org/officeDocument/2006/relationships/hyperlink" Target="https://ucanr.edu/sites/Contracts_Grants/Proposals/Budget_Preparation/" TargetMode="External"/><Relationship Id="rId2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ucanr.edu/sites/anrstaff/files/278018.docx" TargetMode="External"/><Relationship Id="rId1" Type="http://schemas.openxmlformats.org/officeDocument/2006/relationships/hyperlink" Target="http://ucanr.edu/sites/anrstaff/files/229382.docx"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ucanr.edu/sites/anrstaff/files/278018.docx" TargetMode="External"/><Relationship Id="rId1" Type="http://schemas.openxmlformats.org/officeDocument/2006/relationships/hyperlink" Target="http://ucanr.edu/sites/anrstaff/files/229382.doc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CC00"/>
    <pageSetUpPr fitToPage="1"/>
  </sheetPr>
  <dimension ref="A1:AD335"/>
  <sheetViews>
    <sheetView showGridLines="0" tabSelected="1" zoomScale="115" zoomScaleNormal="115" workbookViewId="0">
      <pane ySplit="7" topLeftCell="A8" activePane="bottomLeft" state="frozen"/>
      <selection pane="bottomLeft" activeCell="C2" sqref="C2:L2"/>
    </sheetView>
  </sheetViews>
  <sheetFormatPr defaultColWidth="9.140625" defaultRowHeight="12.75" x14ac:dyDescent="0.2"/>
  <cols>
    <col min="1" max="1" width="3.5703125" style="216" customWidth="1"/>
    <col min="2" max="2" width="24.85546875" style="216" customWidth="1"/>
    <col min="3" max="3" width="13.5703125" style="216" customWidth="1"/>
    <col min="4" max="4" width="6.5703125" style="216" customWidth="1"/>
    <col min="5" max="6" width="7.28515625" style="216" customWidth="1"/>
    <col min="7" max="7" width="7" style="216" customWidth="1"/>
    <col min="8" max="8" width="7.140625" style="216" customWidth="1"/>
    <col min="9" max="9" width="9.85546875" style="216" customWidth="1"/>
    <col min="10" max="10" width="7.85546875" style="216" customWidth="1"/>
    <col min="11" max="11" width="12.5703125" style="216" bestFit="1" customWidth="1"/>
    <col min="12" max="15" width="12.28515625" style="216" customWidth="1"/>
    <col min="16" max="16" width="12.28515625" style="236" customWidth="1"/>
    <col min="17" max="17" width="5.85546875" style="218" customWidth="1"/>
    <col min="18" max="18" width="13" style="216" customWidth="1"/>
    <col min="19" max="19" width="17.140625" style="216" customWidth="1"/>
    <col min="20" max="20" width="23.28515625" style="216" customWidth="1"/>
    <col min="21" max="21" width="14.140625" style="216" customWidth="1"/>
    <col min="22" max="22" width="17.42578125" style="216" customWidth="1"/>
    <col min="23" max="23" width="13.140625" style="216" customWidth="1"/>
    <col min="24" max="24" width="9.140625" style="216" customWidth="1"/>
    <col min="25" max="25" width="21.7109375" style="216" customWidth="1"/>
    <col min="26" max="26" width="17.85546875" style="216" customWidth="1"/>
    <col min="27" max="27" width="14.42578125" style="216" bestFit="1" customWidth="1"/>
    <col min="28" max="28" width="14.42578125" style="216" customWidth="1"/>
    <col min="29" max="29" width="12.85546875" style="216" bestFit="1" customWidth="1"/>
    <col min="30" max="30" width="11.42578125" style="216" customWidth="1"/>
    <col min="31" max="16384" width="9.140625" style="216"/>
  </cols>
  <sheetData>
    <row r="1" spans="1:23" ht="15" x14ac:dyDescent="0.25">
      <c r="A1" s="530" t="s">
        <v>343</v>
      </c>
      <c r="B1" s="531"/>
      <c r="C1" s="531"/>
      <c r="D1" s="531"/>
      <c r="E1" s="627" t="s">
        <v>342</v>
      </c>
      <c r="F1" s="628"/>
      <c r="G1" s="628"/>
      <c r="H1" s="628"/>
      <c r="I1" s="628"/>
      <c r="J1" s="628"/>
      <c r="K1" s="628"/>
    </row>
    <row r="2" spans="1:23" x14ac:dyDescent="0.2">
      <c r="A2" s="500"/>
      <c r="B2" s="97" t="s">
        <v>304</v>
      </c>
      <c r="C2" s="694"/>
      <c r="D2" s="694"/>
      <c r="E2" s="694"/>
      <c r="F2" s="694"/>
      <c r="G2" s="694"/>
      <c r="H2" s="694"/>
      <c r="I2" s="694"/>
      <c r="J2" s="694"/>
      <c r="K2" s="694"/>
      <c r="L2" s="694"/>
    </row>
    <row r="3" spans="1:23" x14ac:dyDescent="0.2">
      <c r="A3" s="500"/>
      <c r="B3" s="97" t="s">
        <v>313</v>
      </c>
      <c r="C3" s="774"/>
      <c r="D3" s="775"/>
      <c r="E3" s="775"/>
      <c r="F3" s="775"/>
      <c r="G3" s="775"/>
      <c r="H3" s="775"/>
      <c r="I3" s="528"/>
      <c r="J3" s="528"/>
      <c r="K3" s="528"/>
      <c r="L3" s="528"/>
    </row>
    <row r="4" spans="1:23" ht="15" customHeight="1" x14ac:dyDescent="0.2">
      <c r="B4" s="97" t="s">
        <v>2</v>
      </c>
      <c r="C4" s="781"/>
      <c r="D4" s="781"/>
      <c r="E4" s="781"/>
      <c r="F4" s="781"/>
      <c r="G4" s="781"/>
      <c r="H4" s="781"/>
      <c r="I4" s="207"/>
      <c r="J4" s="208"/>
      <c r="K4" s="1" t="s">
        <v>121</v>
      </c>
      <c r="L4" s="1" t="s">
        <v>4</v>
      </c>
      <c r="M4" s="1" t="s">
        <v>5</v>
      </c>
      <c r="N4" s="1" t="s">
        <v>6</v>
      </c>
      <c r="O4" s="1" t="s">
        <v>7</v>
      </c>
      <c r="P4" s="217" t="s">
        <v>8</v>
      </c>
      <c r="R4" s="638" t="s">
        <v>347</v>
      </c>
      <c r="S4" s="639"/>
      <c r="T4" s="639"/>
      <c r="U4" s="639"/>
      <c r="V4" s="639"/>
      <c r="W4" s="639"/>
    </row>
    <row r="5" spans="1:23" ht="15" customHeight="1" x14ac:dyDescent="0.2">
      <c r="B5" s="97" t="s">
        <v>9</v>
      </c>
      <c r="C5" s="674"/>
      <c r="D5" s="674"/>
      <c r="E5" s="674"/>
      <c r="F5" s="674"/>
      <c r="G5" s="674"/>
      <c r="H5" s="674"/>
      <c r="I5" s="207"/>
      <c r="J5" s="208"/>
      <c r="K5" s="489">
        <f>$C$6</f>
        <v>46204</v>
      </c>
      <c r="L5" s="489">
        <f>IF($L$6="","",IF($L$6=0,"",(DATE(YEAR($C$6),MONTH($C$6)+$K$6,DAY($C$6)))))</f>
        <v>46569</v>
      </c>
      <c r="M5" s="489">
        <f>IF($M$6="","",IF($M$6=0,"",(DATE(YEAR($L$5),MONTH($L$5)+$L$6,DAY($L$5)))))</f>
        <v>46935</v>
      </c>
      <c r="N5" s="489">
        <f>IF($N$6="","",IF($N$6=0,"",(DATE(YEAR($M$5),MONTH($M$5)+M6,DAY($M$5)))))</f>
        <v>47300</v>
      </c>
      <c r="O5" s="489">
        <f>IF($O$6="","",IF($O$6=0,"",(DATE(YEAR($N$5),MONTH($N$5)+$N$6,DAY($N$5)))))</f>
        <v>47665</v>
      </c>
      <c r="P5" s="219"/>
      <c r="R5" s="696" t="s">
        <v>1</v>
      </c>
      <c r="S5" s="697"/>
      <c r="T5" s="697"/>
      <c r="U5" s="697"/>
      <c r="V5" s="697"/>
      <c r="W5" s="698"/>
    </row>
    <row r="6" spans="1:23" ht="15" customHeight="1" x14ac:dyDescent="0.2">
      <c r="B6" s="97" t="s">
        <v>10</v>
      </c>
      <c r="C6" s="210">
        <v>46204</v>
      </c>
      <c r="D6" s="207"/>
      <c r="E6" s="779" t="s">
        <v>11</v>
      </c>
      <c r="F6" s="779"/>
      <c r="G6" s="779"/>
      <c r="H6" s="779"/>
      <c r="I6" s="779"/>
      <c r="J6" s="780"/>
      <c r="K6" s="209">
        <v>12</v>
      </c>
      <c r="L6" s="209">
        <v>12</v>
      </c>
      <c r="M6" s="209">
        <v>12</v>
      </c>
      <c r="N6" s="209">
        <v>12</v>
      </c>
      <c r="O6" s="209">
        <v>12</v>
      </c>
      <c r="P6" s="219"/>
      <c r="R6" s="699"/>
      <c r="S6" s="700"/>
      <c r="T6" s="700"/>
      <c r="U6" s="700"/>
      <c r="V6" s="700"/>
      <c r="W6" s="701"/>
    </row>
    <row r="7" spans="1:23" ht="12.75" customHeight="1" x14ac:dyDescent="0.2">
      <c r="B7" s="97" t="s">
        <v>301</v>
      </c>
      <c r="C7" s="504" t="s">
        <v>0</v>
      </c>
      <c r="D7" s="782" t="s">
        <v>305</v>
      </c>
      <c r="E7" s="783"/>
      <c r="F7" s="508" t="s">
        <v>147</v>
      </c>
      <c r="G7" s="207"/>
      <c r="H7" s="207"/>
      <c r="I7" s="779"/>
      <c r="J7" s="780"/>
      <c r="K7" s="529">
        <f>IF(K$5="","",(DATE(YEAR(K$5),MONTH(K$5)+K$6,DAY(K$5)-1)))</f>
        <v>46568</v>
      </c>
      <c r="L7" s="529">
        <f t="shared" ref="L7:O7" si="0">IF(L$5="","",(DATE(YEAR(L$5),MONTH(L$5)+L$6,DAY(L$5)-1)))</f>
        <v>46934</v>
      </c>
      <c r="M7" s="488">
        <f t="shared" si="0"/>
        <v>47299</v>
      </c>
      <c r="N7" s="488">
        <f t="shared" si="0"/>
        <v>47664</v>
      </c>
      <c r="O7" s="488">
        <f t="shared" si="0"/>
        <v>48029</v>
      </c>
      <c r="P7" s="220"/>
      <c r="R7" s="640" t="s">
        <v>287</v>
      </c>
      <c r="S7" s="640"/>
      <c r="T7" s="640"/>
      <c r="U7" s="640"/>
      <c r="V7" s="640"/>
      <c r="W7" s="640"/>
    </row>
    <row r="8" spans="1:23" ht="12.75" customHeight="1" thickBot="1" x14ac:dyDescent="0.25">
      <c r="A8" s="644" t="s">
        <v>12</v>
      </c>
      <c r="B8" s="645"/>
      <c r="C8" s="645"/>
      <c r="D8" s="645"/>
      <c r="E8" s="645"/>
      <c r="F8" s="645"/>
      <c r="G8" s="645"/>
      <c r="H8" s="645"/>
      <c r="I8" s="645"/>
      <c r="J8" s="646"/>
      <c r="K8" s="221"/>
      <c r="L8" s="221"/>
      <c r="M8" s="221"/>
      <c r="N8" s="221"/>
      <c r="O8" s="221"/>
      <c r="P8" s="148"/>
      <c r="Q8" s="222"/>
      <c r="R8" s="729" t="s">
        <v>13</v>
      </c>
      <c r="S8" s="730"/>
      <c r="T8" s="730"/>
      <c r="U8" s="730"/>
      <c r="V8" s="730"/>
      <c r="W8" s="731"/>
    </row>
    <row r="9" spans="1:23" ht="12.75" customHeight="1" x14ac:dyDescent="0.2">
      <c r="A9" s="176"/>
      <c r="B9" s="725" t="s">
        <v>14</v>
      </c>
      <c r="C9" s="725" t="s">
        <v>15</v>
      </c>
      <c r="D9" s="738" t="s">
        <v>16</v>
      </c>
      <c r="E9" s="738"/>
      <c r="F9" s="738"/>
      <c r="G9" s="738"/>
      <c r="H9" s="738"/>
      <c r="I9" s="734" t="s">
        <v>17</v>
      </c>
      <c r="J9" s="735"/>
      <c r="K9" s="741"/>
      <c r="L9" s="743"/>
      <c r="M9" s="743"/>
      <c r="N9" s="743"/>
      <c r="O9" s="739"/>
      <c r="P9" s="718"/>
      <c r="Q9" s="223"/>
      <c r="R9" s="732" t="s">
        <v>18</v>
      </c>
      <c r="S9" s="733"/>
      <c r="T9" s="761" t="s">
        <v>19</v>
      </c>
      <c r="U9" s="762"/>
      <c r="V9" s="763" t="s">
        <v>20</v>
      </c>
      <c r="W9" s="764"/>
    </row>
    <row r="10" spans="1:23" ht="12.75" customHeight="1" x14ac:dyDescent="0.2">
      <c r="A10" s="176"/>
      <c r="B10" s="726"/>
      <c r="C10" s="726"/>
      <c r="D10" s="224" t="s">
        <v>21</v>
      </c>
      <c r="E10" s="224" t="s">
        <v>22</v>
      </c>
      <c r="F10" s="224" t="s">
        <v>23</v>
      </c>
      <c r="G10" s="224" t="s">
        <v>24</v>
      </c>
      <c r="H10" s="224" t="s">
        <v>25</v>
      </c>
      <c r="I10" s="736"/>
      <c r="J10" s="737"/>
      <c r="K10" s="742"/>
      <c r="L10" s="744"/>
      <c r="M10" s="744"/>
      <c r="N10" s="744"/>
      <c r="O10" s="740"/>
      <c r="P10" s="718"/>
      <c r="Q10" s="223"/>
      <c r="R10" s="225" t="s">
        <v>26</v>
      </c>
      <c r="S10" s="178" t="s">
        <v>27</v>
      </c>
      <c r="T10" s="226" t="s">
        <v>26</v>
      </c>
      <c r="U10" s="227" t="s">
        <v>28</v>
      </c>
      <c r="V10" s="228" t="s">
        <v>26</v>
      </c>
      <c r="W10" s="227" t="s">
        <v>28</v>
      </c>
    </row>
    <row r="11" spans="1:23" ht="12.75" customHeight="1" x14ac:dyDescent="0.2">
      <c r="A11" s="176">
        <v>1</v>
      </c>
      <c r="B11" s="245" t="s">
        <v>30</v>
      </c>
      <c r="C11" s="509"/>
      <c r="D11" s="443"/>
      <c r="E11" s="443"/>
      <c r="F11" s="443"/>
      <c r="G11" s="443"/>
      <c r="H11" s="443"/>
      <c r="I11" s="441" t="s">
        <v>29</v>
      </c>
      <c r="J11" s="442">
        <v>0.04</v>
      </c>
      <c r="K11" s="464">
        <f>IF(I11="Budget Year",ROUND(C11*D11/12*$K$6,0),IF($K$6=0,,ROUND(Worksheet!I37,0)))</f>
        <v>0</v>
      </c>
      <c r="L11" s="464">
        <f>IF(I11="Budget Year",ROUND(C11*E11/12*(1+J11)*$L$6,0),IF($L$6=0,,ROUND(Worksheet!J37,0)))</f>
        <v>0</v>
      </c>
      <c r="M11" s="465">
        <f>IF(I11="Budget Year",ROUND(C11*F11/12*(1+J11)*(1+J11)*$M$6,0),IF($M$6=0,,ROUND(Worksheet!K37,0)))</f>
        <v>0</v>
      </c>
      <c r="N11" s="465">
        <f>IF(I11="Budget Year",ROUND(C11*G11/12*(1+J11)*(1+J11)*(1+J11)*$N$6,0),IF($N$6=0,,ROUND(Worksheet!L37,0)))</f>
        <v>0</v>
      </c>
      <c r="O11" s="465">
        <f>IF(I11="Budget Year",ROUND(C11*H11/12*(1+J11)*(1+J11)*(1+J11)*(1+J11)*$O$6,0),IF($O$6=0,,ROUND(Worksheet!M37,0)))</f>
        <v>0</v>
      </c>
      <c r="P11" s="466">
        <f t="shared" ref="P11:P31" si="1">SUM(K11:O11)</f>
        <v>0</v>
      </c>
      <c r="Q11" s="229"/>
      <c r="R11" s="179">
        <v>4.1700000000000001E-2</v>
      </c>
      <c r="S11" s="230">
        <f>R11*12</f>
        <v>0.50039999999999996</v>
      </c>
      <c r="T11" s="12">
        <v>0</v>
      </c>
      <c r="U11" s="231">
        <f>T11*9</f>
        <v>0</v>
      </c>
      <c r="V11" s="12">
        <v>3.6999999999999998E-2</v>
      </c>
      <c r="W11" s="231">
        <f>V11*3</f>
        <v>0.11099999999999999</v>
      </c>
    </row>
    <row r="12" spans="1:23" ht="12.75" customHeight="1" thickBot="1" x14ac:dyDescent="0.25">
      <c r="A12" s="176">
        <v>2</v>
      </c>
      <c r="B12" s="245" t="s">
        <v>30</v>
      </c>
      <c r="C12" s="509"/>
      <c r="D12" s="443"/>
      <c r="E12" s="443"/>
      <c r="F12" s="443"/>
      <c r="G12" s="443"/>
      <c r="H12" s="443"/>
      <c r="I12" s="441" t="s">
        <v>29</v>
      </c>
      <c r="J12" s="442">
        <v>0.04</v>
      </c>
      <c r="K12" s="464">
        <f>IF(I12="Budget Year",ROUND(C12*D12/12*$K$6,0),IF($K$6=0,,ROUND(Worksheet!I38,0)))</f>
        <v>0</v>
      </c>
      <c r="L12" s="464">
        <f>IF(I12="Budget Year",ROUND(C12*E12/12*(1+J12)*$L$6,0),IF($L$6=0,,ROUND(Worksheet!J38,0)))</f>
        <v>0</v>
      </c>
      <c r="M12" s="465">
        <f>IF(I12="Budget Year",ROUND(C12*F12/12*(1+J12)*(1+J12)*$M$6,0),IF($M$6=0,,ROUND(Worksheet!K38,0)))</f>
        <v>0</v>
      </c>
      <c r="N12" s="465">
        <f>IF(I12="Budget Year",ROUND(C12*G12/12*(1+J12)*(1+J12)*(1+J12)*$N$6,0),IF($N$6=0,,ROUND(Worksheet!L38,0)))</f>
        <v>0</v>
      </c>
      <c r="O12" s="465">
        <f>IF(I12="Budget Year",ROUND(C12*H12/12*(1+J12)*(1+J12)*(1+J12)*(1+J12)*$O$6,0),IF($O$6=0,,ROUND(Worksheet!M38,0)))</f>
        <v>0</v>
      </c>
      <c r="P12" s="466">
        <f t="shared" si="1"/>
        <v>0</v>
      </c>
      <c r="Q12" s="229"/>
      <c r="R12" s="232" t="s">
        <v>31</v>
      </c>
      <c r="S12" s="233">
        <f>2088*R11</f>
        <v>87.069600000000008</v>
      </c>
      <c r="T12" s="234" t="s">
        <v>31</v>
      </c>
      <c r="U12" s="235">
        <f>T11*1560</f>
        <v>0</v>
      </c>
      <c r="V12" s="234" t="s">
        <v>31</v>
      </c>
      <c r="W12" s="235">
        <f>V11*520</f>
        <v>19.239999999999998</v>
      </c>
    </row>
    <row r="13" spans="1:23" ht="12.75" customHeight="1" thickBot="1" x14ac:dyDescent="0.25">
      <c r="A13" s="176">
        <v>3</v>
      </c>
      <c r="B13" s="245" t="s">
        <v>30</v>
      </c>
      <c r="C13" s="509"/>
      <c r="D13" s="443"/>
      <c r="E13" s="443"/>
      <c r="F13" s="443"/>
      <c r="G13" s="443"/>
      <c r="H13" s="443"/>
      <c r="I13" s="441" t="s">
        <v>29</v>
      </c>
      <c r="J13" s="442">
        <v>0.04</v>
      </c>
      <c r="K13" s="464">
        <f>IF(I13="Budget Year",ROUND(C13*D13/12*$K$6,0),IF($K$6=0,,ROUND(Worksheet!I39,0)))</f>
        <v>0</v>
      </c>
      <c r="L13" s="464">
        <f>IF(I13="Budget Year",ROUND(C13*E13/12*(1+J13)*$L$6,0),IF($L$6=0,,ROUND(Worksheet!J39,0)))</f>
        <v>0</v>
      </c>
      <c r="M13" s="465">
        <f>IF(I13="Budget Year",ROUND(C13*F13/12*(1+J13)*(1+J13)*$M$6,0),IF($M$6=0,,ROUND(Worksheet!K39,0)))</f>
        <v>0</v>
      </c>
      <c r="N13" s="465">
        <f>IF(I13="Budget Year",ROUND(C13*G13/12*(1+J13)*(1+J13)*(1+J13)*$N$6,0),IF($N$6=0,,ROUND(Worksheet!L39,0)))</f>
        <v>0</v>
      </c>
      <c r="O13" s="465">
        <f>IF(I13="Budget Year",ROUND(C13*H13/12*(1+J13)*(1+J13)*(1+J13)*(1+J13)*$O$6,0),IF($O$6=0,,ROUND(Worksheet!M39,0)))</f>
        <v>0</v>
      </c>
      <c r="P13" s="466">
        <f t="shared" si="1"/>
        <v>0</v>
      </c>
      <c r="Q13" s="229"/>
      <c r="R13" s="757" t="s">
        <v>296</v>
      </c>
      <c r="S13" s="758"/>
      <c r="T13" s="758"/>
      <c r="U13" s="758"/>
      <c r="V13" s="758"/>
      <c r="W13" s="759"/>
    </row>
    <row r="14" spans="1:23" ht="12.75" customHeight="1" x14ac:dyDescent="0.2">
      <c r="A14" s="176">
        <v>4</v>
      </c>
      <c r="B14" s="245" t="s">
        <v>30</v>
      </c>
      <c r="C14" s="509"/>
      <c r="D14" s="443"/>
      <c r="E14" s="443"/>
      <c r="F14" s="443"/>
      <c r="G14" s="443"/>
      <c r="H14" s="443"/>
      <c r="I14" s="441" t="s">
        <v>29</v>
      </c>
      <c r="J14" s="442">
        <v>0.04</v>
      </c>
      <c r="K14" s="464">
        <f>IF(I14="Budget Year",ROUND(C14*D14/12*$K$6,0),IF($K$6=0,,ROUND(Worksheet!I40,0)))</f>
        <v>0</v>
      </c>
      <c r="L14" s="464">
        <f>IF(I14="Budget Year",ROUND(C14*E14/12*(1+J14)*$L$6,0),IF($L$6=0,,ROUND(Worksheet!J40,0)))</f>
        <v>0</v>
      </c>
      <c r="M14" s="465">
        <f>IF(I14="Budget Year",ROUND(C14*F14/12*(1+J14)*(1+J14)*$M$6,0),IF($M$6=0,,ROUND(Worksheet!K40,0)))</f>
        <v>0</v>
      </c>
      <c r="N14" s="465">
        <f>IF(I14="Budget Year",ROUND(C14*G14/12*(1+J14)*(1+J14)*(1+J14)*$N$6,0),IF($N$6=0,,ROUND(Worksheet!L40,0)))</f>
        <v>0</v>
      </c>
      <c r="O14" s="465">
        <f>IF(I14="Budget Year",ROUND(C14*H14/12*(1+J14)*(1+J14)*(1+J14)*(1+J14)*$O$6,0),IF($O$6=0,,ROUND(Worksheet!M40,0)))</f>
        <v>0</v>
      </c>
      <c r="P14" s="466">
        <f t="shared" si="1"/>
        <v>0</v>
      </c>
      <c r="Q14" s="229"/>
      <c r="R14" s="13"/>
      <c r="S14" s="13"/>
      <c r="T14" s="13"/>
      <c r="U14" s="13"/>
      <c r="V14" s="13"/>
      <c r="W14" s="13"/>
    </row>
    <row r="15" spans="1:23" ht="12.75" customHeight="1" x14ac:dyDescent="0.2">
      <c r="A15" s="176">
        <v>5</v>
      </c>
      <c r="B15" s="245" t="s">
        <v>30</v>
      </c>
      <c r="C15" s="509"/>
      <c r="D15" s="443"/>
      <c r="E15" s="443"/>
      <c r="F15" s="443"/>
      <c r="G15" s="443"/>
      <c r="H15" s="443"/>
      <c r="I15" s="441" t="s">
        <v>29</v>
      </c>
      <c r="J15" s="442">
        <v>0.04</v>
      </c>
      <c r="K15" s="464">
        <f>IF(I15="Budget Year",ROUND(C15*D15/12*$K$6,0),IF($K$6=0,,ROUND(Worksheet!I41,0)))</f>
        <v>0</v>
      </c>
      <c r="L15" s="464">
        <f>IF(I15="Budget Year",ROUND(C15*E15/12*(1+J15)*$L$6,0),IF($L$6=0,,ROUND(Worksheet!J41,0)))</f>
        <v>0</v>
      </c>
      <c r="M15" s="465">
        <f>IF(I15="Budget Year",ROUND(C15*F15/12*(1+J15)*(1+J15)*$M$6,0),IF($M$6=0,,ROUND(Worksheet!K41,0)))</f>
        <v>0</v>
      </c>
      <c r="N15" s="465">
        <f>IF(I15="Budget Year",ROUND(C15*G15/12*(1+J15)*(1+J15)*(1+J15)*$N$6,0),IF($N$6=0,,ROUND(Worksheet!L41,0)))</f>
        <v>0</v>
      </c>
      <c r="O15" s="465">
        <f>IF(I15="Budget Year",ROUND(C15*H15/12*(1+J15)*(1+J15)*(1+J15)*(1+J15)*$O$6,0),IF($O$6=0,,ROUND(Worksheet!M41,0)))</f>
        <v>0</v>
      </c>
      <c r="P15" s="466">
        <f t="shared" si="1"/>
        <v>0</v>
      </c>
      <c r="Q15" s="229"/>
      <c r="R15" s="760" t="s">
        <v>32</v>
      </c>
      <c r="S15" s="760"/>
      <c r="T15" s="760"/>
      <c r="U15" s="189"/>
      <c r="V15" s="189"/>
      <c r="W15" s="16"/>
    </row>
    <row r="16" spans="1:23" ht="12.75" customHeight="1" x14ac:dyDescent="0.2">
      <c r="A16" s="176">
        <v>6</v>
      </c>
      <c r="B16" s="245" t="s">
        <v>30</v>
      </c>
      <c r="C16" s="509"/>
      <c r="D16" s="443"/>
      <c r="E16" s="443"/>
      <c r="F16" s="443"/>
      <c r="G16" s="443"/>
      <c r="H16" s="443"/>
      <c r="I16" s="441" t="s">
        <v>29</v>
      </c>
      <c r="J16" s="442">
        <v>0.04</v>
      </c>
      <c r="K16" s="464">
        <f>IF(I16="Budget Year",ROUND(C16*D16/12*$K$6,0),IF($K$6=0,,ROUND(Worksheet!I42,0)))</f>
        <v>0</v>
      </c>
      <c r="L16" s="464">
        <f>IF(I16="Budget Year",ROUND(C16*E16/12*(1+J16)*$L$6,0),IF($L$6=0,,ROUND(Worksheet!J42,0)))</f>
        <v>0</v>
      </c>
      <c r="M16" s="465">
        <f>IF(I16="Budget Year",ROUND(C16*F16/12*(1+J16)*(1+J16)*$M$6,0),IF($M$6=0,,ROUND(Worksheet!K42,0)))</f>
        <v>0</v>
      </c>
      <c r="N16" s="465">
        <f>IF(I16="Budget Year",ROUND(C16*G16/12*(1+J16)*(1+J16)*(1+J16)*$N$6,0),IF($N$6=0,,ROUND(Worksheet!L42,0)))</f>
        <v>0</v>
      </c>
      <c r="O16" s="465">
        <f>IF(I16="Budget Year",ROUND(C16*H16/12*(1+J16)*(1+J16)*(1+J16)*(1+J16)*$O$6,0),IF($O$6=0,,ROUND(Worksheet!M42,0)))</f>
        <v>0</v>
      </c>
      <c r="P16" s="466">
        <f t="shared" si="1"/>
        <v>0</v>
      </c>
      <c r="Q16" s="229"/>
      <c r="R16" s="724" t="s">
        <v>218</v>
      </c>
      <c r="S16" s="724"/>
      <c r="T16" s="724"/>
      <c r="U16" s="724"/>
      <c r="V16" s="724"/>
      <c r="W16" s="14"/>
    </row>
    <row r="17" spans="1:23" ht="12.75" hidden="1" customHeight="1" x14ac:dyDescent="0.2">
      <c r="A17" s="176">
        <v>7</v>
      </c>
      <c r="B17" s="245" t="s">
        <v>30</v>
      </c>
      <c r="C17" s="509"/>
      <c r="D17" s="443"/>
      <c r="E17" s="443"/>
      <c r="F17" s="443"/>
      <c r="G17" s="443"/>
      <c r="H17" s="443"/>
      <c r="I17" s="441" t="s">
        <v>29</v>
      </c>
      <c r="J17" s="442">
        <v>0.04</v>
      </c>
      <c r="K17" s="464">
        <f>IF(I17="Budget Year",ROUND(C17*D17/12*$K$6,0),IF($K$6=0,,ROUND(Worksheet!I43,0)))</f>
        <v>0</v>
      </c>
      <c r="L17" s="464">
        <f>IF(I17="Budget Year",ROUND(C17*E17/12*(1+J17)*$L$6,0),IF($L$6=0,,ROUND(Worksheet!J43,0)))</f>
        <v>0</v>
      </c>
      <c r="M17" s="465">
        <f>IF(I17="Budget Year",ROUND(C17*F17/12*(1+J17)*(1+J17)*$M$6,0),IF($M$6=0,,ROUND(Worksheet!K43,0)))</f>
        <v>0</v>
      </c>
      <c r="N17" s="465">
        <f>IF(I17="Budget Year",ROUND(C17*G17/12*(1+J17)*(1+J17)*(1+J17)*$N$6,0),IF($N$6=0,,ROUND(Worksheet!L43,0)))</f>
        <v>0</v>
      </c>
      <c r="O17" s="465">
        <f>IF(I17="Budget Year",ROUND(C17*H17/12*(1+J17)*(1+J17)*(1+J17)*(1+J17)*$O$6,0),IF($O$6=0,,ROUND(Worksheet!M43,0)))</f>
        <v>0</v>
      </c>
      <c r="P17" s="466">
        <f t="shared" si="1"/>
        <v>0</v>
      </c>
      <c r="Q17" s="229"/>
      <c r="R17" s="719" t="s">
        <v>33</v>
      </c>
      <c r="S17" s="720"/>
      <c r="T17" s="236"/>
      <c r="U17" s="188"/>
      <c r="V17" s="188"/>
      <c r="W17" s="15"/>
    </row>
    <row r="18" spans="1:23" ht="12.75" hidden="1" customHeight="1" x14ac:dyDescent="0.2">
      <c r="A18" s="176">
        <v>8</v>
      </c>
      <c r="B18" s="245" t="s">
        <v>30</v>
      </c>
      <c r="C18" s="509"/>
      <c r="D18" s="443"/>
      <c r="E18" s="443"/>
      <c r="F18" s="443"/>
      <c r="G18" s="443"/>
      <c r="H18" s="443"/>
      <c r="I18" s="441" t="s">
        <v>29</v>
      </c>
      <c r="J18" s="442">
        <v>0.04</v>
      </c>
      <c r="K18" s="464">
        <f>IF(I18="Budget Year",ROUND(C18*D18/12*$K$6,0),IF($K$6=0,,ROUND(Worksheet!I44,0)))</f>
        <v>0</v>
      </c>
      <c r="L18" s="464">
        <f>IF(I18="Budget Year",ROUND(C18*E18/12*(1+J18)*$L$6,0),IF($L$6=0,,ROUND(Worksheet!J44,0)))</f>
        <v>0</v>
      </c>
      <c r="M18" s="465">
        <f>IF(I18="Budget Year",ROUND(C18*F18/12*(1+J18)*(1+J18)*$M$6,0),IF($M$6=0,,ROUND(Worksheet!K44,0)))</f>
        <v>0</v>
      </c>
      <c r="N18" s="465">
        <f>IF(I18="Budget Year",ROUND(C18*G18/12*(1+J18)*(1+J18)*(1+J18)*$N$6,0),IF($N$6=0,,ROUND(Worksheet!L44,0)))</f>
        <v>0</v>
      </c>
      <c r="O18" s="465">
        <f>IF(I18="Budget Year",ROUND(C18*H18/12*(1+J18)*(1+J18)*(1+J18)*(1+J18)*$O$6,0),IF($O$6=0,,ROUND(Worksheet!M44,0)))</f>
        <v>0</v>
      </c>
      <c r="P18" s="466">
        <f t="shared" si="1"/>
        <v>0</v>
      </c>
      <c r="Q18" s="229"/>
      <c r="R18" s="721" t="s">
        <v>34</v>
      </c>
      <c r="S18" s="722"/>
      <c r="T18" s="723"/>
      <c r="U18" s="188"/>
      <c r="V18" s="188"/>
      <c r="W18" s="15"/>
    </row>
    <row r="19" spans="1:23" ht="12.75" hidden="1" customHeight="1" x14ac:dyDescent="0.2">
      <c r="A19" s="176">
        <v>9</v>
      </c>
      <c r="B19" s="245" t="s">
        <v>30</v>
      </c>
      <c r="C19" s="509"/>
      <c r="D19" s="443"/>
      <c r="E19" s="443"/>
      <c r="F19" s="443"/>
      <c r="G19" s="443"/>
      <c r="H19" s="443"/>
      <c r="I19" s="441" t="s">
        <v>29</v>
      </c>
      <c r="J19" s="442">
        <v>0.04</v>
      </c>
      <c r="K19" s="464">
        <f>IF(I19="Budget Year",ROUND(C19*D19/12*$K$6,0),IF($K$6=0,,ROUND(Worksheet!I45,0)))</f>
        <v>0</v>
      </c>
      <c r="L19" s="464">
        <f>IF(I19="Budget Year",ROUND(C19*E19/12*(1+J19)*$L$6,0),IF($L$6=0,,ROUND(Worksheet!J45,0)))</f>
        <v>0</v>
      </c>
      <c r="M19" s="465">
        <f>IF(I19="Budget Year",ROUND(C19*F19/12*(1+J19)*(1+J19)*$M$6,0),IF($M$6=0,,ROUND(Worksheet!K45,0)))</f>
        <v>0</v>
      </c>
      <c r="N19" s="465">
        <f>IF(I19="Budget Year",ROUND(C19*G19/12*(1+J19)*(1+J19)*(1+J19)*$N$6,0),IF($N$6=0,,ROUND(Worksheet!L45,0)))</f>
        <v>0</v>
      </c>
      <c r="O19" s="465">
        <f>IF(I19="Budget Year",ROUND(C19*H19/12*(1+J19)*(1+J19)*(1+J19)*(1+J19)*$O$6,0),IF($O$6=0,,ROUND(Worksheet!M45,0)))</f>
        <v>0</v>
      </c>
      <c r="P19" s="466">
        <f t="shared" si="1"/>
        <v>0</v>
      </c>
      <c r="Q19" s="229"/>
      <c r="R19" s="236"/>
      <c r="S19" s="236"/>
      <c r="T19" s="236"/>
      <c r="U19" s="236"/>
      <c r="V19" s="236"/>
    </row>
    <row r="20" spans="1:23" ht="12.75" hidden="1" customHeight="1" x14ac:dyDescent="0.2">
      <c r="A20" s="176">
        <v>10</v>
      </c>
      <c r="B20" s="245" t="s">
        <v>30</v>
      </c>
      <c r="C20" s="509"/>
      <c r="D20" s="443"/>
      <c r="E20" s="443"/>
      <c r="F20" s="443"/>
      <c r="G20" s="443"/>
      <c r="H20" s="443"/>
      <c r="I20" s="441" t="s">
        <v>29</v>
      </c>
      <c r="J20" s="442">
        <v>0.04</v>
      </c>
      <c r="K20" s="464">
        <f>IF(I20="Budget Year",ROUND(C20*D20/12*$K$6,0),IF($K$6=0,,ROUND(Worksheet!I46,0)))</f>
        <v>0</v>
      </c>
      <c r="L20" s="464">
        <f>IF(I20="Budget Year",ROUND(C20*E20/12*(1+J20)*$L$6,0),IF($L$6=0,,ROUND(Worksheet!J46,0)))</f>
        <v>0</v>
      </c>
      <c r="M20" s="465">
        <f>IF(I20="Budget Year",ROUND(C20*F20/12*(1+J20)*(1+J20)*$M$6,0),IF($M$6=0,,ROUND(Worksheet!K46,0)))</f>
        <v>0</v>
      </c>
      <c r="N20" s="465">
        <f>IF(I20="Budget Year",ROUND(C20*G20/12*(1+J20)*(1+J20)*(1+J20)*$N$6,0),IF($N$6=0,,ROUND(Worksheet!L46,0)))</f>
        <v>0</v>
      </c>
      <c r="O20" s="465">
        <f>IF(I20="Budget Year",ROUND(C20*H20/12*(1+J20)*(1+J20)*(1+J20)*(1+J20)*$O$6,0),IF($O$6=0,,ROUND(Worksheet!M46,0)))</f>
        <v>0</v>
      </c>
      <c r="P20" s="466">
        <f t="shared" si="1"/>
        <v>0</v>
      </c>
      <c r="Q20" s="229"/>
    </row>
    <row r="21" spans="1:23" ht="12.75" hidden="1" customHeight="1" x14ac:dyDescent="0.2">
      <c r="A21" s="176">
        <v>11</v>
      </c>
      <c r="B21" s="245" t="s">
        <v>30</v>
      </c>
      <c r="C21" s="509"/>
      <c r="D21" s="443"/>
      <c r="E21" s="443"/>
      <c r="F21" s="443"/>
      <c r="G21" s="443"/>
      <c r="H21" s="443"/>
      <c r="I21" s="441" t="s">
        <v>29</v>
      </c>
      <c r="J21" s="442">
        <v>0.04</v>
      </c>
      <c r="K21" s="464">
        <f>IF(I21="Budget Year",ROUND(C21*D21/12*$K$6,0),IF($K$6=0,,ROUND(Worksheet!I47,0)))</f>
        <v>0</v>
      </c>
      <c r="L21" s="464">
        <f>IF(I21="Budget Year",ROUND(C21*E21/12*(1+J21)*$L$6,0),IF($L$6=0,,ROUND(Worksheet!J47,0)))</f>
        <v>0</v>
      </c>
      <c r="M21" s="465">
        <f>IF(I21="Budget Year",ROUND(C21*F21/12*(1+J21)*(1+J21)*$M$6,0),IF($M$6=0,,ROUND(Worksheet!K47,0)))</f>
        <v>0</v>
      </c>
      <c r="N21" s="465">
        <f>IF(I21="Budget Year",ROUND(C21*G21/12*(1+J21)*(1+J21)*(1+J21)*$N$6,0),IF($N$6=0,,ROUND(Worksheet!L47,0)))</f>
        <v>0</v>
      </c>
      <c r="O21" s="465">
        <f>IF(I21="Budget Year",ROUND(C21*H21/12*(1+J21)*(1+J21)*(1+J21)*(1+J21)*$O$6,0),IF($O$6=0,,ROUND(Worksheet!M47,0)))</f>
        <v>0</v>
      </c>
      <c r="P21" s="466">
        <f t="shared" si="1"/>
        <v>0</v>
      </c>
      <c r="Q21" s="229"/>
    </row>
    <row r="22" spans="1:23" ht="12.75" hidden="1" customHeight="1" x14ac:dyDescent="0.2">
      <c r="A22" s="176">
        <v>12</v>
      </c>
      <c r="B22" s="245" t="s">
        <v>30</v>
      </c>
      <c r="C22" s="509"/>
      <c r="D22" s="443"/>
      <c r="E22" s="443"/>
      <c r="F22" s="443"/>
      <c r="G22" s="443"/>
      <c r="H22" s="443"/>
      <c r="I22" s="441" t="s">
        <v>29</v>
      </c>
      <c r="J22" s="442">
        <v>0.04</v>
      </c>
      <c r="K22" s="464">
        <f>IF(I22="Budget Year",ROUND(C22*D22/12*$K$6,0),IF($K$6=0,,ROUND(Worksheet!I48,0)))</f>
        <v>0</v>
      </c>
      <c r="L22" s="464">
        <f>IF(I22="Budget Year",ROUND(C22*E22/12*(1+J22)*$L$6,0),IF($L$6=0,,ROUND(Worksheet!J48,0)))</f>
        <v>0</v>
      </c>
      <c r="M22" s="465">
        <f>IF(I22="Budget Year",ROUND(C22*F22/12*(1+J22)*(1+J22)*$M$6,0),IF($M$6=0,,ROUND(Worksheet!K48,0)))</f>
        <v>0</v>
      </c>
      <c r="N22" s="465">
        <f>IF(I22="Budget Year",ROUND(C22*G22/12*(1+J22)*(1+J22)*(1+J22)*$N$6,0),IF($N$6=0,,ROUND(Worksheet!L48,0)))</f>
        <v>0</v>
      </c>
      <c r="O22" s="465">
        <f>IF(I22="Budget Year",ROUND(C22*H22/12*(1+J22)*(1+J22)*(1+J22)*(1+J22)*$O$6,0),IF($O$6=0,,ROUND(Worksheet!M48,0)))</f>
        <v>0</v>
      </c>
      <c r="P22" s="466">
        <f t="shared" si="1"/>
        <v>0</v>
      </c>
      <c r="Q22" s="229"/>
    </row>
    <row r="23" spans="1:23" ht="12.75" hidden="1" customHeight="1" x14ac:dyDescent="0.2">
      <c r="A23" s="176">
        <v>13</v>
      </c>
      <c r="B23" s="245" t="s">
        <v>30</v>
      </c>
      <c r="C23" s="509"/>
      <c r="D23" s="443"/>
      <c r="E23" s="443"/>
      <c r="F23" s="443"/>
      <c r="G23" s="443"/>
      <c r="H23" s="443"/>
      <c r="I23" s="441" t="s">
        <v>29</v>
      </c>
      <c r="J23" s="442">
        <v>0.04</v>
      </c>
      <c r="K23" s="464">
        <f>IF(I23="Budget Year",ROUND(C23*D23/12*$K$6,0),IF($K$6=0,,ROUND(Worksheet!I49,0)))</f>
        <v>0</v>
      </c>
      <c r="L23" s="464">
        <f>IF(I23="Budget Year",ROUND(C23*E23/12*(1+J23)*$L$6,0),IF($L$6=0,,ROUND(Worksheet!J49,0)))</f>
        <v>0</v>
      </c>
      <c r="M23" s="465">
        <f>IF(I23="Budget Year",ROUND(C23*F23/12*(1+J23)*(1+J23)*$M$6,0),IF($M$6=0,,ROUND(Worksheet!K49,0)))</f>
        <v>0</v>
      </c>
      <c r="N23" s="465">
        <f>IF(I23="Budget Year",ROUND(C23*G23/12*(1+J23)*(1+J23)*(1+J23)*$N$6,0),IF($N$6=0,,ROUND(Worksheet!L49,0)))</f>
        <v>0</v>
      </c>
      <c r="O23" s="465">
        <f>IF(I23="Budget Year",ROUND(C23*H23/12*(1+J23)*(1+J23)*(1+J23)*(1+J23)*$O$6,0),IF($O$6=0,,ROUND(Worksheet!M49,0)))</f>
        <v>0</v>
      </c>
      <c r="P23" s="466">
        <f t="shared" si="1"/>
        <v>0</v>
      </c>
      <c r="Q23" s="229"/>
    </row>
    <row r="24" spans="1:23" ht="12.75" hidden="1" customHeight="1" x14ac:dyDescent="0.2">
      <c r="A24" s="176">
        <v>14</v>
      </c>
      <c r="B24" s="245" t="s">
        <v>30</v>
      </c>
      <c r="C24" s="509"/>
      <c r="D24" s="443"/>
      <c r="E24" s="443"/>
      <c r="F24" s="443"/>
      <c r="G24" s="443"/>
      <c r="H24" s="443"/>
      <c r="I24" s="441" t="s">
        <v>29</v>
      </c>
      <c r="J24" s="442">
        <v>0.04</v>
      </c>
      <c r="K24" s="464">
        <f>IF(I24="Budget Year",ROUND(C24*D24/12*$K$6,0),IF($K$6=0,,ROUND(Worksheet!I50,0)))</f>
        <v>0</v>
      </c>
      <c r="L24" s="464">
        <f>IF(I24="Budget Year",ROUND(C24*E24/12*(1+J24)*$L$6,0),IF($L$6=0,,ROUND(Worksheet!J50,0)))</f>
        <v>0</v>
      </c>
      <c r="M24" s="465">
        <f>IF(I24="Budget Year",ROUND(C24*F24/12*(1+J24)*(1+J24)*$M$6,0),IF($M$6=0,,ROUND(Worksheet!K50,0)))</f>
        <v>0</v>
      </c>
      <c r="N24" s="465">
        <f>IF(I24="Budget Year",ROUND(C24*G24/12*(1+J24)*(1+J24)*(1+J24)*$N$6,0),IF($N$6=0,,ROUND(Worksheet!L50,0)))</f>
        <v>0</v>
      </c>
      <c r="O24" s="465">
        <f>IF(I24="Budget Year",ROUND(C24*H24/12*(1+J24)*(1+J24)*(1+J24)*(1+J24)*$O$6,0),IF($O$6=0,,ROUND(Worksheet!M50,0)))</f>
        <v>0</v>
      </c>
      <c r="P24" s="466">
        <f t="shared" si="1"/>
        <v>0</v>
      </c>
      <c r="Q24" s="229"/>
    </row>
    <row r="25" spans="1:23" ht="12.75" hidden="1" customHeight="1" x14ac:dyDescent="0.2">
      <c r="A25" s="176">
        <v>15</v>
      </c>
      <c r="B25" s="245" t="s">
        <v>30</v>
      </c>
      <c r="C25" s="509"/>
      <c r="D25" s="443"/>
      <c r="E25" s="443"/>
      <c r="F25" s="443"/>
      <c r="G25" s="443"/>
      <c r="H25" s="443"/>
      <c r="I25" s="441" t="s">
        <v>29</v>
      </c>
      <c r="J25" s="442">
        <v>0.04</v>
      </c>
      <c r="K25" s="464">
        <f>IF(I25="Budget Year",ROUND(C25*D25/12*$K$6,0),IF($K$6=0,,ROUND(Worksheet!I51,0)))</f>
        <v>0</v>
      </c>
      <c r="L25" s="464">
        <f>IF(I25="Budget Year",ROUND(C25*E25/12*(1+J25)*$L$6,0),IF($L$6=0,,ROUND(Worksheet!J51,0)))</f>
        <v>0</v>
      </c>
      <c r="M25" s="465">
        <f>IF(I25="Budget Year",ROUND(C25*F25/12*(1+J25)*(1+J25)*$M$6,0),IF($M$6=0,,ROUND(Worksheet!K51,0)))</f>
        <v>0</v>
      </c>
      <c r="N25" s="465">
        <f>IF(I25="Budget Year",ROUND(C25*G25/12*(1+J25)*(1+J25)*(1+J25)*$N$6,0),IF($N$6=0,,ROUND(Worksheet!L51,0)))</f>
        <v>0</v>
      </c>
      <c r="O25" s="465">
        <f>IF(I25="Budget Year",ROUND(C25*H25/12*(1+J25)*(1+J25)*(1+J25)*(1+J25)*$O$6,0),IF($O$6=0,,ROUND(Worksheet!M51,0)))</f>
        <v>0</v>
      </c>
      <c r="P25" s="466">
        <f t="shared" si="1"/>
        <v>0</v>
      </c>
      <c r="Q25" s="229"/>
    </row>
    <row r="26" spans="1:23" ht="12.75" hidden="1" customHeight="1" x14ac:dyDescent="0.2">
      <c r="A26" s="176">
        <v>16</v>
      </c>
      <c r="B26" s="245" t="s">
        <v>30</v>
      </c>
      <c r="C26" s="509"/>
      <c r="D26" s="443"/>
      <c r="E26" s="443"/>
      <c r="F26" s="443"/>
      <c r="G26" s="443"/>
      <c r="H26" s="443"/>
      <c r="I26" s="441" t="s">
        <v>29</v>
      </c>
      <c r="J26" s="442">
        <v>0.04</v>
      </c>
      <c r="K26" s="464">
        <f>IF(I26="Budget Year",ROUND(C26*D26/12*$K$6,0),IF($K$6=0,,ROUND(Worksheet!I52,0)))</f>
        <v>0</v>
      </c>
      <c r="L26" s="464">
        <f>IF(I26="Budget Year",ROUND(C26*E26/12*(1+J26)*$L$6,0),IF($L$6=0,,ROUND(Worksheet!J52,0)))</f>
        <v>0</v>
      </c>
      <c r="M26" s="465">
        <f>IF(I26="Budget Year",ROUND(C26*F26/12*(1+J26)*(1+J26)*$M$6,0),IF($M$6=0,,ROUND(Worksheet!K52,0)))</f>
        <v>0</v>
      </c>
      <c r="N26" s="465">
        <f>IF(I26="Budget Year",ROUND(C26*G26/12*(1+J26)*(1+J26)*(1+J26)*$N$6,0),IF($N$6=0,,ROUND(Worksheet!L52,0)))</f>
        <v>0</v>
      </c>
      <c r="O26" s="465">
        <f>IF(I26="Budget Year",ROUND(C26*H26/12*(1+J26)*(1+J26)*(1+J26)*(1+J26)*$O$6,0),IF($O$6=0,,ROUND(Worksheet!M52,0)))</f>
        <v>0</v>
      </c>
      <c r="P26" s="466">
        <f t="shared" si="1"/>
        <v>0</v>
      </c>
      <c r="Q26" s="229"/>
    </row>
    <row r="27" spans="1:23" ht="12.75" hidden="1" customHeight="1" x14ac:dyDescent="0.2">
      <c r="A27" s="176">
        <v>17</v>
      </c>
      <c r="B27" s="245" t="s">
        <v>30</v>
      </c>
      <c r="C27" s="509"/>
      <c r="D27" s="443"/>
      <c r="E27" s="443"/>
      <c r="F27" s="443"/>
      <c r="G27" s="443"/>
      <c r="H27" s="443"/>
      <c r="I27" s="441" t="s">
        <v>29</v>
      </c>
      <c r="J27" s="442">
        <v>0.04</v>
      </c>
      <c r="K27" s="464">
        <f>IF(I27="Budget Year",ROUND(C27*D27/12*$K$6,0),IF($K$6=0,,ROUND(Worksheet!I53,0)))</f>
        <v>0</v>
      </c>
      <c r="L27" s="464">
        <f>IF(I27="Budget Year",ROUND(C27*E27/12*(1+J27)*$L$6,0),IF($L$6=0,,ROUND(Worksheet!J53,0)))</f>
        <v>0</v>
      </c>
      <c r="M27" s="465">
        <f>IF(I27="Budget Year",ROUND(C27*F27/12*(1+J27)*(1+J27)*$M$6,0),IF($M$6=0,,ROUND(Worksheet!K53,0)))</f>
        <v>0</v>
      </c>
      <c r="N27" s="465">
        <f>IF(I27="Budget Year",ROUND(C27*G27/12*(1+J27)*(1+J27)*(1+J27)*$N$6,0),IF($N$6=0,,ROUND(Worksheet!L53,0)))</f>
        <v>0</v>
      </c>
      <c r="O27" s="465">
        <f>IF(I27="Budget Year",ROUND(C27*H27/12*(1+J27)*(1+J27)*(1+J27)*(1+J27)*$O$6,0),IF($O$6=0,,ROUND(Worksheet!M53,0)))</f>
        <v>0</v>
      </c>
      <c r="P27" s="466">
        <f t="shared" si="1"/>
        <v>0</v>
      </c>
      <c r="Q27" s="229"/>
    </row>
    <row r="28" spans="1:23" ht="12.75" hidden="1" customHeight="1" x14ac:dyDescent="0.2">
      <c r="A28" s="176">
        <v>18</v>
      </c>
      <c r="B28" s="245" t="s">
        <v>30</v>
      </c>
      <c r="C28" s="509"/>
      <c r="D28" s="443"/>
      <c r="E28" s="443"/>
      <c r="F28" s="443"/>
      <c r="G28" s="443"/>
      <c r="H28" s="443"/>
      <c r="I28" s="441" t="s">
        <v>29</v>
      </c>
      <c r="J28" s="442">
        <v>0.04</v>
      </c>
      <c r="K28" s="464">
        <f>IF(I28="Budget Year",ROUND(C28*D28/12*$K$6,0),IF($K$6=0,,ROUND(Worksheet!I54,0)))</f>
        <v>0</v>
      </c>
      <c r="L28" s="464">
        <f>IF(I28="Budget Year",ROUND(C28*E28/12*(1+J28)*$L$6,0),IF($L$6=0,,ROUND(Worksheet!J54,0)))</f>
        <v>0</v>
      </c>
      <c r="M28" s="465">
        <f>IF(I28="Budget Year",ROUND(C28*F28/12*(1+J28)*(1+J28)*$M$6,0),IF($M$6=0,,ROUND(Worksheet!K54,0)))</f>
        <v>0</v>
      </c>
      <c r="N28" s="465">
        <f>IF(I28="Budget Year",ROUND(C28*G28/12*(1+J28)*(1+J28)*(1+J28)*$N$6,0),IF($N$6=0,,ROUND(Worksheet!L54,0)))</f>
        <v>0</v>
      </c>
      <c r="O28" s="465">
        <f>IF(I28="Budget Year",ROUND(C28*H28/12*(1+J28)*(1+J28)*(1+J28)*(1+J28)*$O$6,0),IF($O$6=0,,ROUND(Worksheet!M54,0)))</f>
        <v>0</v>
      </c>
      <c r="P28" s="466">
        <f t="shared" si="1"/>
        <v>0</v>
      </c>
      <c r="Q28" s="229"/>
    </row>
    <row r="29" spans="1:23" ht="12.75" hidden="1" customHeight="1" x14ac:dyDescent="0.2">
      <c r="A29" s="176">
        <v>19</v>
      </c>
      <c r="B29" s="245" t="s">
        <v>30</v>
      </c>
      <c r="C29" s="509"/>
      <c r="D29" s="443"/>
      <c r="E29" s="443"/>
      <c r="F29" s="443"/>
      <c r="G29" s="443"/>
      <c r="H29" s="443"/>
      <c r="I29" s="441" t="s">
        <v>29</v>
      </c>
      <c r="J29" s="442">
        <v>0.04</v>
      </c>
      <c r="K29" s="464">
        <f>IF(I29="Budget Year",ROUND(C29*D29/12*$K$6,0),IF($K$6=0,,ROUND(Worksheet!I55,0)))</f>
        <v>0</v>
      </c>
      <c r="L29" s="464">
        <f>IF(I29="Budget Year",ROUND(C29*E29/12*(1+J29)*$L$6,0),IF($L$6=0,,ROUND(Worksheet!J55,0)))</f>
        <v>0</v>
      </c>
      <c r="M29" s="465">
        <f>IF(I29="Budget Year",ROUND(C29*F29/12*(1+J29)*(1+J29)*$M$6,0),IF($M$6=0,,ROUND(Worksheet!K55,0)))</f>
        <v>0</v>
      </c>
      <c r="N29" s="465">
        <f>IF(I29="Budget Year",ROUND(C29*G29/12*(1+J29)*(1+J29)*(1+J29)*$N$6,0),IF($N$6=0,,ROUND(Worksheet!L55,0)))</f>
        <v>0</v>
      </c>
      <c r="O29" s="465">
        <f>IF(I29="Budget Year",ROUND(C29*H29/12*(1+J29)*(1+J29)*(1+J29)*(1+J29)*$O$6,0),IF($O$6=0,,ROUND(Worksheet!M55,0)))</f>
        <v>0</v>
      </c>
      <c r="P29" s="466">
        <f t="shared" si="1"/>
        <v>0</v>
      </c>
      <c r="Q29" s="229"/>
    </row>
    <row r="30" spans="1:23" ht="12.75" hidden="1" customHeight="1" x14ac:dyDescent="0.2">
      <c r="A30" s="176">
        <v>20</v>
      </c>
      <c r="B30" s="245" t="s">
        <v>30</v>
      </c>
      <c r="C30" s="509"/>
      <c r="D30" s="443"/>
      <c r="E30" s="443"/>
      <c r="F30" s="443"/>
      <c r="G30" s="443"/>
      <c r="H30" s="443"/>
      <c r="I30" s="441" t="s">
        <v>29</v>
      </c>
      <c r="J30" s="442">
        <v>0.04</v>
      </c>
      <c r="K30" s="464">
        <f>IF(I30="Budget Year",ROUND(C30*D30/12*$K$6,0),IF($K$6=0,,ROUND(Worksheet!I56,0)))</f>
        <v>0</v>
      </c>
      <c r="L30" s="464">
        <f>IF(I30="Budget Year",ROUND(C30*E30/12*(1+J30)*$L$6,0),IF($L$6=0,,ROUND(Worksheet!J56,0)))</f>
        <v>0</v>
      </c>
      <c r="M30" s="465">
        <f>IF(I30="Budget Year",ROUND(C30*F30/12*(1+J30)*(1+J30)*$M$6,0),IF($M$6=0,,ROUND(Worksheet!K56,0)))</f>
        <v>0</v>
      </c>
      <c r="N30" s="465">
        <f>IF(I30="Budget Year",ROUND(C30*G30/12*(1+J30)*(1+J30)*(1+J30)*$N$6,0),IF($N$6=0,,ROUND(Worksheet!L56,0)))</f>
        <v>0</v>
      </c>
      <c r="O30" s="465">
        <f>IF(I30="Budget Year",ROUND(C30*H30/12*(1+J30)*(1+J30)*(1+J30)*(1+J30)*$O$6,0),IF($O$6=0,,ROUND(Worksheet!M56,0)))</f>
        <v>0</v>
      </c>
      <c r="P30" s="466">
        <f t="shared" si="1"/>
        <v>0</v>
      </c>
      <c r="Q30" s="229"/>
    </row>
    <row r="31" spans="1:23" ht="12.75" customHeight="1" x14ac:dyDescent="0.2">
      <c r="A31" s="702" t="s">
        <v>35</v>
      </c>
      <c r="B31" s="703"/>
      <c r="C31" s="237"/>
      <c r="D31" s="238"/>
      <c r="E31" s="238"/>
      <c r="F31" s="238"/>
      <c r="G31" s="238"/>
      <c r="H31" s="239"/>
      <c r="I31" s="239"/>
      <c r="J31" s="240"/>
      <c r="K31" s="467">
        <f>SUM(K11:K30)</f>
        <v>0</v>
      </c>
      <c r="L31" s="467">
        <f>SUM(L11:L30)</f>
        <v>0</v>
      </c>
      <c r="M31" s="467">
        <f>SUM(M11:M30)</f>
        <v>0</v>
      </c>
      <c r="N31" s="467">
        <f>SUM(N11:N30)</f>
        <v>0</v>
      </c>
      <c r="O31" s="468">
        <f>SUM(O11:O30)</f>
        <v>0</v>
      </c>
      <c r="P31" s="469">
        <f t="shared" si="1"/>
        <v>0</v>
      </c>
      <c r="Q31" s="241"/>
    </row>
    <row r="32" spans="1:23" ht="12.75" customHeight="1" x14ac:dyDescent="0.2">
      <c r="M32" s="496"/>
      <c r="N32" s="496"/>
    </row>
    <row r="33" spans="1:23" ht="12.75" customHeight="1" x14ac:dyDescent="0.25">
      <c r="A33" s="647" t="s">
        <v>36</v>
      </c>
      <c r="B33" s="648"/>
      <c r="C33" s="649"/>
      <c r="D33" s="765"/>
      <c r="E33" s="766"/>
      <c r="F33" s="766"/>
      <c r="G33" s="766"/>
      <c r="H33" s="767"/>
      <c r="I33" s="9"/>
      <c r="J33" s="10"/>
      <c r="K33" s="11"/>
      <c r="L33" s="11"/>
      <c r="M33" s="11"/>
      <c r="N33" s="11"/>
      <c r="O33" s="11"/>
      <c r="P33" s="148"/>
      <c r="Q33" s="7"/>
      <c r="R33" s="629" t="s">
        <v>217</v>
      </c>
      <c r="S33" s="754" t="s">
        <v>38</v>
      </c>
      <c r="T33" s="755"/>
      <c r="U33" s="755"/>
      <c r="V33" s="755"/>
      <c r="W33" s="756"/>
    </row>
    <row r="34" spans="1:23" ht="12.75" customHeight="1" x14ac:dyDescent="0.2">
      <c r="A34" s="173"/>
      <c r="B34" s="217" t="s">
        <v>14</v>
      </c>
      <c r="C34" s="174" t="s">
        <v>39</v>
      </c>
      <c r="D34" s="224" t="s">
        <v>21</v>
      </c>
      <c r="E34" s="224" t="s">
        <v>22</v>
      </c>
      <c r="F34" s="224" t="s">
        <v>23</v>
      </c>
      <c r="G34" s="224" t="s">
        <v>24</v>
      </c>
      <c r="H34" s="224" t="s">
        <v>25</v>
      </c>
      <c r="I34" s="175"/>
      <c r="J34" s="176"/>
      <c r="K34" s="470"/>
      <c r="L34" s="470"/>
      <c r="M34" s="470"/>
      <c r="N34" s="470"/>
      <c r="O34" s="470"/>
      <c r="P34" s="283"/>
      <c r="Q34" s="7"/>
      <c r="R34" s="242" t="s">
        <v>40</v>
      </c>
      <c r="S34" s="243"/>
      <c r="T34" s="243"/>
      <c r="U34" s="243"/>
      <c r="V34" s="243"/>
      <c r="W34" s="244"/>
    </row>
    <row r="35" spans="1:23" ht="12.75" customHeight="1" x14ac:dyDescent="0.2">
      <c r="A35" s="245">
        <f t="shared" ref="A35:B54" si="2">A11</f>
        <v>1</v>
      </c>
      <c r="B35" s="245" t="str">
        <f t="shared" si="2"/>
        <v xml:space="preserve"> </v>
      </c>
      <c r="C35" s="443" t="s">
        <v>42</v>
      </c>
      <c r="D35" s="505">
        <f>IF(C35="Select",0,IF(C35="A",Worksheet!$V$62,IF(C35="B",Worksheet!$V$63,IF(C35="C",Worksheet!$V$64,IF(C35="D",Worksheet!$V$65,IF(C35="E",Worksheet!$V$66,IF(C35="F",Worksheet!$V$67,FALSE)))))))</f>
        <v>0.44700000000000001</v>
      </c>
      <c r="E35" s="505">
        <f>IF(C35="Select",0,IF(C35="A",Worksheet!$W$62,IF(C35="B",Worksheet!$W$63,IF(C35="C",Worksheet!$W$64,IF(C35="D",Worksheet!$W$65,IF(C35="E",Worksheet!$W$66,IF(C35="F",Worksheet!$W$67,FALSE)))))))</f>
        <v>0.44700000000000001</v>
      </c>
      <c r="F35" s="505">
        <f>IF(C35="Select",0,IF(C35="Select","",IF(C35="A",Worksheet!$X$62,IF(C35="B",Worksheet!$X$63,IF(C35="C",Worksheet!$X$64,IF(C35="D",Worksheet!$X$65,IF(C35="E",Worksheet!$X$66,IF(C35="F",Worksheet!$X$67,FALSE))))))))</f>
        <v>0.44700000000000001</v>
      </c>
      <c r="G35" s="505">
        <f>IF(C35="Select",0,IF(C35="A",Worksheet!$Y$62,IF(C35="B",Worksheet!$Y$63,IF(C35="C",Worksheet!$Y$64,IF(C35="D",Worksheet!$Y$65,IF(C35="E",Worksheet!$Y$66,IF(C35="F",Worksheet!$Y$67,FALSE)))))))</f>
        <v>0.44700000000000001</v>
      </c>
      <c r="H35" s="505">
        <f>IF(C35="Select",0,IF(C35="A",Worksheet!$Z$62,IF(C35="B",Worksheet!$Z$63,IF(C35="C",Worksheet!$Z$64,IF(C35="D",Worksheet!$Z$65,IF(C35="E",Worksheet!$Z$66,IF(C35="F",Worksheet!$Z$67,FALSE)))))))</f>
        <v>0.44700000000000001</v>
      </c>
      <c r="I35" s="506">
        <f>IF(C35="Select",0,IF(C35="A",Worksheet!$AA$62,IF(C35="B",Worksheet!$AA$63,IF(C35="C",Worksheet!$AA$64,IF(C35="D",Worksheet!$AA$65,IF(C35="E",Worksheet!$AA$66,IF(C35="F",Worksheet!$AA$67,FALSE)))))))</f>
        <v>0.44700000000000001</v>
      </c>
      <c r="J35" s="18"/>
      <c r="K35" s="464">
        <f>ROUND(K11*(((D35*Worksheet!$B$6)+(E35*Worksheet!$B$7))/Worksheet!$B$5),0)</f>
        <v>0</v>
      </c>
      <c r="L35" s="464">
        <f>IF($L$6=0,"",(ROUND(L11*(((E35*Worksheet!$C$6)+(F35*Worksheet!$C$7))/Worksheet!$C$5),0)))</f>
        <v>0</v>
      </c>
      <c r="M35" s="464">
        <f>IF($M$6=0,"",(ROUND(M11*(((F35*Worksheet!$D$6)+(G35*Worksheet!$D$7))/Worksheet!$D$5),0)))</f>
        <v>0</v>
      </c>
      <c r="N35" s="464">
        <f>IF($N$6=0,"",(ROUND(N11*(((G35*Worksheet!$E$6)+(H35*Worksheet!$E$7))/Worksheet!$E$5),0)))</f>
        <v>0</v>
      </c>
      <c r="O35" s="464">
        <f>IF($O$6=0,"",(ROUND(O11*(((H35*Worksheet!$F$6)+(I35*Worksheet!$F$7))/Worksheet!$F$5),0)))</f>
        <v>0</v>
      </c>
      <c r="P35" s="466">
        <f t="shared" ref="P35:P55" si="3">SUM(K35:O35)</f>
        <v>0</v>
      </c>
      <c r="Q35" s="247"/>
      <c r="R35" s="704" t="s">
        <v>42</v>
      </c>
      <c r="S35" s="745" t="s">
        <v>299</v>
      </c>
      <c r="T35" s="746"/>
      <c r="U35" s="746"/>
      <c r="V35" s="746"/>
      <c r="W35" s="747"/>
    </row>
    <row r="36" spans="1:23" ht="12.75" customHeight="1" x14ac:dyDescent="0.2">
      <c r="A36" s="245">
        <f t="shared" si="2"/>
        <v>2</v>
      </c>
      <c r="B36" s="245" t="str">
        <f t="shared" si="2"/>
        <v xml:space="preserve"> </v>
      </c>
      <c r="C36" s="443" t="s">
        <v>216</v>
      </c>
      <c r="D36" s="505">
        <f>IF(C36="Select",0,IF(C36="A",Worksheet!$V$62,IF(C36="B",Worksheet!$V$63,IF(C36="C",Worksheet!$V$64,IF(C36="D",Worksheet!$V$65,IF(C36="E",Worksheet!$V$66,IF(C36="F",Worksheet!$V$67,FALSE)))))))</f>
        <v>0</v>
      </c>
      <c r="E36" s="505">
        <f>IF(C36="Select",0,IF(C36="A",Worksheet!$W$62,IF(C36="B",Worksheet!$W$63,IF(C36="C",Worksheet!$W$64,IF(C36="D",Worksheet!$W$65,IF(C36="E",Worksheet!$W$66,IF(C36="F",Worksheet!$W$67,FALSE)))))))</f>
        <v>0</v>
      </c>
      <c r="F36" s="505">
        <f>IF(C36="Select",0,IF(C36="Select","",IF(C36="A",Worksheet!$X$62,IF(C36="B",Worksheet!$X$63,IF(C36="C",Worksheet!$X$64,IF(C36="D",Worksheet!$X$65,IF(C36="E",Worksheet!$X$66,IF(C36="F",Worksheet!$X$67,FALSE))))))))</f>
        <v>0</v>
      </c>
      <c r="G36" s="505">
        <f>IF(C36="Select",0,IF(C36="A",Worksheet!$Y$62,IF(C36="B",Worksheet!$Y$63,IF(C36="C",Worksheet!$Y$64,IF(C36="D",Worksheet!$Y$65,IF(C36="E",Worksheet!$Y$66,IF(C36="F",Worksheet!$Y$67,FALSE)))))))</f>
        <v>0</v>
      </c>
      <c r="H36" s="505">
        <f>IF(C36="Select",0,IF(C36="A",Worksheet!$Z$62,IF(C36="B",Worksheet!$Z$63,IF(C36="C",Worksheet!$Z$64,IF(C36="D",Worksheet!$Z$65,IF(C36="E",Worksheet!$Z$66,IF(C36="F",Worksheet!$Z$67,FALSE)))))))</f>
        <v>0</v>
      </c>
      <c r="I36" s="506">
        <f>IF(C36="Select",0,IF(C36="A",Worksheet!$AA$62,IF(C36="B",Worksheet!$AA$63,IF(C36="C",Worksheet!$AA$64,IF(C36="D",Worksheet!$AA$65,IF(C36="E",Worksheet!$AA$66,IF(C36="F",Worksheet!$AA$67,FALSE)))))))</f>
        <v>0</v>
      </c>
      <c r="J36" s="18"/>
      <c r="K36" s="464">
        <f>ROUND(K12*(((D36*Worksheet!$B$6)+(E36*Worksheet!$B$7))/Worksheet!$B$5),0)</f>
        <v>0</v>
      </c>
      <c r="L36" s="464">
        <f>IF($L$6=0,"",(ROUND(L12*(((E36*Worksheet!$C$6)+(F36*Worksheet!$C$7))/Worksheet!$C$5),0)))</f>
        <v>0</v>
      </c>
      <c r="M36" s="464">
        <f>IF($M$6=0,"",(ROUND(M12*(((F36*Worksheet!$D$6)+(G36*Worksheet!$D$7))/Worksheet!$D$5),0)))</f>
        <v>0</v>
      </c>
      <c r="N36" s="464">
        <f>IF($N$6=0,"",(ROUND(N12*(((G36*Worksheet!$E$6)+(H36*Worksheet!$E$7))/Worksheet!$E$5),0)))</f>
        <v>0</v>
      </c>
      <c r="O36" s="464">
        <f>IF($O$6=0,"",(ROUND(O12*(((H36*Worksheet!$F$6)+(I36*Worksheet!$F$7))/Worksheet!$F$5),0)))</f>
        <v>0</v>
      </c>
      <c r="P36" s="466">
        <f t="shared" si="3"/>
        <v>0</v>
      </c>
      <c r="Q36" s="247"/>
      <c r="R36" s="705"/>
      <c r="S36" s="748"/>
      <c r="T36" s="749"/>
      <c r="U36" s="749"/>
      <c r="V36" s="749"/>
      <c r="W36" s="750"/>
    </row>
    <row r="37" spans="1:23" ht="12.75" customHeight="1" x14ac:dyDescent="0.2">
      <c r="A37" s="245">
        <f t="shared" si="2"/>
        <v>3</v>
      </c>
      <c r="B37" s="245" t="str">
        <f t="shared" si="2"/>
        <v xml:space="preserve"> </v>
      </c>
      <c r="C37" s="443" t="s">
        <v>216</v>
      </c>
      <c r="D37" s="505">
        <f>IF(C37="Select",0,IF(C37="A",Worksheet!$V$62,IF(C37="B",Worksheet!$V$63,IF(C37="C",Worksheet!$V$64,IF(C37="D",Worksheet!$V$65,IF(C37="E",Worksheet!$V$66,IF(C37="F",Worksheet!$V$67,FALSE)))))))</f>
        <v>0</v>
      </c>
      <c r="E37" s="505">
        <f>IF(C37="Select",0,IF(C37="A",Worksheet!$W$62,IF(C37="B",Worksheet!$W$63,IF(C37="C",Worksheet!$W$64,IF(C37="D",Worksheet!$W$65,IF(C37="E",Worksheet!$W$66,IF(C37="F",Worksheet!$W$67,FALSE)))))))</f>
        <v>0</v>
      </c>
      <c r="F37" s="505">
        <f>IF(C37="Select",0,IF(C37="Select","",IF(C37="A",Worksheet!$X$62,IF(C37="B",Worksheet!$X$63,IF(C37="C",Worksheet!$X$64,IF(C37="D",Worksheet!$X$65,IF(C37="E",Worksheet!$X$66,IF(C37="F",Worksheet!$X$67,FALSE))))))))</f>
        <v>0</v>
      </c>
      <c r="G37" s="505">
        <f>IF(C37="Select",0,IF(C37="A",Worksheet!$Y$62,IF(C37="B",Worksheet!$Y$63,IF(C37="C",Worksheet!$Y$64,IF(C37="D",Worksheet!$Y$65,IF(C37="E",Worksheet!$Y$66,IF(C37="F",Worksheet!$Y$67,FALSE)))))))</f>
        <v>0</v>
      </c>
      <c r="H37" s="505">
        <f>IF(C37="Select",0,IF(C37="A",Worksheet!$Z$62,IF(C37="B",Worksheet!$Z$63,IF(C37="C",Worksheet!$Z$64,IF(C37="D",Worksheet!$Z$65,IF(C37="E",Worksheet!$Z$66,IF(C37="F",Worksheet!$Z$67,FALSE)))))))</f>
        <v>0</v>
      </c>
      <c r="I37" s="506">
        <f>IF(C37="Select",0,IF(C37="A",Worksheet!$AA$62,IF(C37="B",Worksheet!$AA$63,IF(C37="C",Worksheet!$AA$64,IF(C37="D",Worksheet!$AA$65,IF(C37="E",Worksheet!$AA$66,IF(C37="F",Worksheet!$AA$67,FALSE)))))))</f>
        <v>0</v>
      </c>
      <c r="J37" s="18"/>
      <c r="K37" s="464">
        <f>ROUND(K13*(((D37*Worksheet!$B$6)+(E37*Worksheet!$B$7))/Worksheet!$B$5),0)</f>
        <v>0</v>
      </c>
      <c r="L37" s="464">
        <f>IF($L$6=0,"",(ROUND(L13*(((E37*Worksheet!$C$6)+(F37*Worksheet!$C$7))/Worksheet!$C$5),0)))</f>
        <v>0</v>
      </c>
      <c r="M37" s="464">
        <f>IF($M$6=0,"",(ROUND(M13*(((F37*Worksheet!$D$6)+(G37*Worksheet!$D$7))/Worksheet!$D$5),0)))</f>
        <v>0</v>
      </c>
      <c r="N37" s="464">
        <f>IF($N$6=0,"",(ROUND(N13*(((G37*Worksheet!$E$6)+(H37*Worksheet!$E$7))/Worksheet!$E$5),0)))</f>
        <v>0</v>
      </c>
      <c r="O37" s="464">
        <f>IF($O$6=0,"",(ROUND(O13*(((H37*Worksheet!$F$6)+(I37*Worksheet!$F$7))/Worksheet!$F$5),0)))</f>
        <v>0</v>
      </c>
      <c r="P37" s="466">
        <f t="shared" si="3"/>
        <v>0</v>
      </c>
      <c r="Q37" s="247"/>
      <c r="R37" s="704" t="s">
        <v>41</v>
      </c>
      <c r="S37" s="706" t="s">
        <v>306</v>
      </c>
      <c r="T37" s="707"/>
      <c r="U37" s="707"/>
      <c r="V37" s="707"/>
      <c r="W37" s="708"/>
    </row>
    <row r="38" spans="1:23" ht="12.75" customHeight="1" x14ac:dyDescent="0.2">
      <c r="A38" s="245">
        <f t="shared" si="2"/>
        <v>4</v>
      </c>
      <c r="B38" s="245" t="str">
        <f t="shared" si="2"/>
        <v xml:space="preserve"> </v>
      </c>
      <c r="C38" s="443" t="s">
        <v>216</v>
      </c>
      <c r="D38" s="505">
        <f>IF(C38="Select",0,IF(C38="A",Worksheet!$V$62,IF(C38="B",Worksheet!$V$63,IF(C38="C",Worksheet!$V$64,IF(C38="D",Worksheet!$V$65,IF(C38="E",Worksheet!$V$66,IF(C38="F",Worksheet!$V$67,FALSE)))))))</f>
        <v>0</v>
      </c>
      <c r="E38" s="505">
        <f>IF(C38="Select",0,IF(C38="A",Worksheet!$W$62,IF(C38="B",Worksheet!$W$63,IF(C38="C",Worksheet!$W$64,IF(C38="D",Worksheet!$W$65,IF(C38="E",Worksheet!$W$66,IF(C38="F",Worksheet!$W$67,FALSE)))))))</f>
        <v>0</v>
      </c>
      <c r="F38" s="505">
        <f>IF(C38="Select",0,IF(C38="Select","",IF(C38="A",Worksheet!$X$62,IF(C38="B",Worksheet!$X$63,IF(C38="C",Worksheet!$X$64,IF(C38="D",Worksheet!$X$65,IF(C38="E",Worksheet!$X$66,IF(C38="F",Worksheet!$X$67,FALSE))))))))</f>
        <v>0</v>
      </c>
      <c r="G38" s="505">
        <f>IF(C38="Select",0,IF(C38="A",Worksheet!$Y$62,IF(C38="B",Worksheet!$Y$63,IF(C38="C",Worksheet!$Y$64,IF(C38="D",Worksheet!$Y$65,IF(C38="E",Worksheet!$Y$66,IF(C38="F",Worksheet!$Y$67,FALSE)))))))</f>
        <v>0</v>
      </c>
      <c r="H38" s="505">
        <f>IF(C38="Select",0,IF(C38="A",Worksheet!$Z$62,IF(C38="B",Worksheet!$Z$63,IF(C38="C",Worksheet!$Z$64,IF(C38="D",Worksheet!$Z$65,IF(C38="E",Worksheet!$Z$66,IF(C38="F",Worksheet!$Z$67,FALSE)))))))</f>
        <v>0</v>
      </c>
      <c r="I38" s="506">
        <f>IF(C38="Select",0,IF(C38="A",Worksheet!$AA$62,IF(C38="B",Worksheet!$AA$63,IF(C38="C",Worksheet!$AA$64,IF(C38="D",Worksheet!$AA$65,IF(C38="E",Worksheet!$AA$66,IF(C38="F",Worksheet!$AA$67,FALSE)))))))</f>
        <v>0</v>
      </c>
      <c r="J38" s="18"/>
      <c r="K38" s="464">
        <f>ROUND(K14*(((D38*Worksheet!$B$6)+(E38*Worksheet!$B$7))/Worksheet!$B$5),0)</f>
        <v>0</v>
      </c>
      <c r="L38" s="464">
        <f>IF($L$6=0,"",(ROUND(L14*(((E38*Worksheet!$C$6)+(F38*Worksheet!$C$7))/Worksheet!$C$5),0)))</f>
        <v>0</v>
      </c>
      <c r="M38" s="464">
        <f>IF($M$6=0,"",(ROUND(M14*(((F38*Worksheet!$D$6)+(G38*Worksheet!$D$7))/Worksheet!$D$5),0)))</f>
        <v>0</v>
      </c>
      <c r="N38" s="464">
        <f>IF($N$6=0,"",(ROUND(N14*(((G38*Worksheet!$E$6)+(H38*Worksheet!$E$7))/Worksheet!$E$5),0)))</f>
        <v>0</v>
      </c>
      <c r="O38" s="464">
        <f>IF($O$6=0,"",(ROUND(O14*(((H38*Worksheet!$F$6)+(I38*Worksheet!$F$7))/Worksheet!$F$5),0)))</f>
        <v>0</v>
      </c>
      <c r="P38" s="466">
        <f t="shared" si="3"/>
        <v>0</v>
      </c>
      <c r="Q38" s="247"/>
      <c r="R38" s="705"/>
      <c r="S38" s="709"/>
      <c r="T38" s="710"/>
      <c r="U38" s="710"/>
      <c r="V38" s="710"/>
      <c r="W38" s="711"/>
    </row>
    <row r="39" spans="1:23" ht="12.75" customHeight="1" x14ac:dyDescent="0.2">
      <c r="A39" s="245">
        <f t="shared" si="2"/>
        <v>5</v>
      </c>
      <c r="B39" s="245" t="str">
        <f t="shared" si="2"/>
        <v xml:space="preserve"> </v>
      </c>
      <c r="C39" s="443" t="s">
        <v>216</v>
      </c>
      <c r="D39" s="505">
        <f>IF(C39="Select",0,IF(C39="A",Worksheet!$V$62,IF(C39="B",Worksheet!$V$63,IF(C39="C",Worksheet!$V$64,IF(C39="D",Worksheet!$V$65,IF(C39="E",Worksheet!$V$66,IF(C39="F",Worksheet!$V$67,FALSE)))))))</f>
        <v>0</v>
      </c>
      <c r="E39" s="505">
        <f>IF(C39="Select",0,IF(C39="A",Worksheet!$W$62,IF(C39="B",Worksheet!$W$63,IF(C39="C",Worksheet!$W$64,IF(C39="D",Worksheet!$W$65,IF(C39="E",Worksheet!$W$66,IF(C39="F",Worksheet!$W$67,FALSE)))))))</f>
        <v>0</v>
      </c>
      <c r="F39" s="505">
        <f>IF(C39="Select",0,IF(C39="Select","",IF(C39="A",Worksheet!$X$62,IF(C39="B",Worksheet!$X$63,IF(C39="C",Worksheet!$X$64,IF(C39="D",Worksheet!$X$65,IF(C39="E",Worksheet!$X$66,IF(C39="F",Worksheet!$X$67,FALSE))))))))</f>
        <v>0</v>
      </c>
      <c r="G39" s="505">
        <f>IF(C39="Select",0,IF(C39="A",Worksheet!$Y$62,IF(C39="B",Worksheet!$Y$63,IF(C39="C",Worksheet!$Y$64,IF(C39="D",Worksheet!$Y$65,IF(C39="E",Worksheet!$Y$66,IF(C39="F",Worksheet!$Y$67,FALSE)))))))</f>
        <v>0</v>
      </c>
      <c r="H39" s="505">
        <f>IF(C39="Select",0,IF(C39="A",Worksheet!$Z$62,IF(C39="B",Worksheet!$Z$63,IF(C39="C",Worksheet!$Z$64,IF(C39="D",Worksheet!$Z$65,IF(C39="E",Worksheet!$Z$66,IF(C39="F",Worksheet!$Z$67,FALSE)))))))</f>
        <v>0</v>
      </c>
      <c r="I39" s="506">
        <f>IF(C39="Select",0,IF(C39="A",Worksheet!$AA$62,IF(C39="B",Worksheet!$AA$63,IF(C39="C",Worksheet!$AA$64,IF(C39="D",Worksheet!$AA$65,IF(C39="E",Worksheet!$AA$66,IF(C39="F",Worksheet!$AA$67,FALSE)))))))</f>
        <v>0</v>
      </c>
      <c r="J39" s="18"/>
      <c r="K39" s="464">
        <f>ROUND(K15*(((D39*Worksheet!$B$6)+(E39*Worksheet!$B$7))/Worksheet!$B$5),0)</f>
        <v>0</v>
      </c>
      <c r="L39" s="464">
        <f>IF($L$6=0,"",(ROUND(L15*(((E39*Worksheet!$C$6)+(F39*Worksheet!$C$7))/Worksheet!$C$5),0)))</f>
        <v>0</v>
      </c>
      <c r="M39" s="464">
        <f>IF($M$6=0,"",(ROUND(M15*(((F39*Worksheet!$D$6)+(G39*Worksheet!$D$7))/Worksheet!$D$5),0)))</f>
        <v>0</v>
      </c>
      <c r="N39" s="464">
        <f>IF($N$6=0,"",(ROUND(N15*(((G39*Worksheet!$E$6)+(H39*Worksheet!$E$7))/Worksheet!$E$5),0)))</f>
        <v>0</v>
      </c>
      <c r="O39" s="464">
        <f>IF($O$6=0,"",(ROUND(O15*(((H39*Worksheet!$F$6)+(I39*Worksheet!$F$7))/Worksheet!$F$5),0)))</f>
        <v>0</v>
      </c>
      <c r="P39" s="466">
        <f t="shared" si="3"/>
        <v>0</v>
      </c>
      <c r="Q39" s="247"/>
      <c r="R39" s="752" t="s">
        <v>43</v>
      </c>
      <c r="S39" s="751" t="s">
        <v>307</v>
      </c>
      <c r="T39" s="751"/>
      <c r="U39" s="751"/>
      <c r="V39" s="751"/>
      <c r="W39" s="751"/>
    </row>
    <row r="40" spans="1:23" ht="12.75" customHeight="1" x14ac:dyDescent="0.2">
      <c r="A40" s="245">
        <f t="shared" si="2"/>
        <v>6</v>
      </c>
      <c r="B40" s="245" t="str">
        <f t="shared" si="2"/>
        <v xml:space="preserve"> </v>
      </c>
      <c r="C40" s="443" t="s">
        <v>216</v>
      </c>
      <c r="D40" s="505">
        <f>IF(C40="Select",0,IF(C40="A",Worksheet!$V$62,IF(C40="B",Worksheet!$V$63,IF(C40="C",Worksheet!$V$64,IF(C40="D",Worksheet!$V$65,IF(C40="E",Worksheet!$V$66,IF(C40="F",Worksheet!$V$67,FALSE)))))))</f>
        <v>0</v>
      </c>
      <c r="E40" s="505">
        <f>IF(C40="Select",0,IF(C40="A",Worksheet!$W$62,IF(C40="B",Worksheet!$W$63,IF(C40="C",Worksheet!$W$64,IF(C40="D",Worksheet!$W$65,IF(C40="E",Worksheet!$W$66,IF(C40="F",Worksheet!$W$67,FALSE)))))))</f>
        <v>0</v>
      </c>
      <c r="F40" s="505">
        <f>IF(C40="Select",0,IF(C40="Select","",IF(C40="A",Worksheet!$X$62,IF(C40="B",Worksheet!$X$63,IF(C40="C",Worksheet!$X$64,IF(C40="D",Worksheet!$X$65,IF(C40="E",Worksheet!$X$66,IF(C40="F",Worksheet!$X$67,FALSE))))))))</f>
        <v>0</v>
      </c>
      <c r="G40" s="505">
        <f>IF(C40="Select",0,IF(C40="A",Worksheet!$Y$62,IF(C40="B",Worksheet!$Y$63,IF(C40="C",Worksheet!$Y$64,IF(C40="D",Worksheet!$Y$65,IF(C40="E",Worksheet!$Y$66,IF(C40="F",Worksheet!$Y$67,FALSE)))))))</f>
        <v>0</v>
      </c>
      <c r="H40" s="505">
        <f>IF(C40="Select",0,IF(C40="A",Worksheet!$Z$62,IF(C40="B",Worksheet!$Z$63,IF(C40="C",Worksheet!$Z$64,IF(C40="D",Worksheet!$Z$65,IF(C40="E",Worksheet!$Z$66,IF(C40="F",Worksheet!$Z$67,FALSE)))))))</f>
        <v>0</v>
      </c>
      <c r="I40" s="506">
        <f>IF(C40="Select",0,IF(C40="A",Worksheet!$AA$62,IF(C40="B",Worksheet!$AA$63,IF(C40="C",Worksheet!$AA$64,IF(C40="D",Worksheet!$AA$65,IF(C40="E",Worksheet!$AA$66,IF(C40="F",Worksheet!$AA$67,FALSE)))))))</f>
        <v>0</v>
      </c>
      <c r="J40" s="18"/>
      <c r="K40" s="464">
        <f>ROUND(K16*(((D40*Worksheet!$B$6)+(E40*Worksheet!$B$7))/Worksheet!$B$5),0)</f>
        <v>0</v>
      </c>
      <c r="L40" s="464">
        <f>IF($L$6=0,"",(ROUND(L16*(((E40*Worksheet!$C$6)+(F40*Worksheet!$C$7))/Worksheet!$C$5),0)))</f>
        <v>0</v>
      </c>
      <c r="M40" s="464">
        <f>IF($M$6=0,"",(ROUND(M16*(((F40*Worksheet!$D$6)+(G40*Worksheet!$D$7))/Worksheet!$D$5),0)))</f>
        <v>0</v>
      </c>
      <c r="N40" s="464">
        <f>IF($N$6=0,"",(ROUND(N16*(((G40*Worksheet!$E$6)+(H40*Worksheet!$E$7))/Worksheet!$E$5),0)))</f>
        <v>0</v>
      </c>
      <c r="O40" s="464">
        <f>IF($O$6=0,"",(ROUND(O16*(((H40*Worksheet!$F$6)+(I40*Worksheet!$F$7))/Worksheet!$F$5),0)))</f>
        <v>0</v>
      </c>
      <c r="P40" s="466">
        <f t="shared" si="3"/>
        <v>0</v>
      </c>
      <c r="Q40" s="247"/>
      <c r="R40" s="753"/>
      <c r="S40" s="751"/>
      <c r="T40" s="751"/>
      <c r="U40" s="751"/>
      <c r="V40" s="751"/>
      <c r="W40" s="751"/>
    </row>
    <row r="41" spans="1:23" ht="12.75" hidden="1" customHeight="1" x14ac:dyDescent="0.2">
      <c r="A41" s="245">
        <f t="shared" si="2"/>
        <v>7</v>
      </c>
      <c r="B41" s="245" t="str">
        <f t="shared" si="2"/>
        <v xml:space="preserve"> </v>
      </c>
      <c r="C41" s="443" t="s">
        <v>216</v>
      </c>
      <c r="D41" s="505">
        <f>IF(C41="Select",0,IF(C41="A",Worksheet!$V$62,IF(C41="B",Worksheet!$V$63,IF(C41="C",Worksheet!$V$64,IF(C41="D",Worksheet!$V$65,IF(C41="E",Worksheet!$V$66,IF(C41="F",Worksheet!$V$67,FALSE)))))))</f>
        <v>0</v>
      </c>
      <c r="E41" s="505">
        <f>IF(C41="Select",0,IF(C41="A",Worksheet!$W$62,IF(C41="B",Worksheet!$W$63,IF(C41="C",Worksheet!$W$64,IF(C41="D",Worksheet!$W$65,IF(C41="E",Worksheet!$W$66,IF(C41="F",Worksheet!$W$67,FALSE)))))))</f>
        <v>0</v>
      </c>
      <c r="F41" s="505">
        <f>IF(C41="Select",0,IF(C41="Select","",IF(C41="A",Worksheet!$X$62,IF(C41="B",Worksheet!$X$63,IF(C41="C",Worksheet!$X$64,IF(C41="D",Worksheet!$X$65,IF(C41="E",Worksheet!$X$66,IF(C41="F",Worksheet!$X$67,FALSE))))))))</f>
        <v>0</v>
      </c>
      <c r="G41" s="505">
        <f>IF(C41="Select",0,IF(C41="A",Worksheet!$Y$62,IF(C41="B",Worksheet!$Y$63,IF(C41="C",Worksheet!$Y$64,IF(C41="D",Worksheet!$Y$65,IF(C41="E",Worksheet!$Y$66,IF(C41="F",Worksheet!$Y$67,FALSE)))))))</f>
        <v>0</v>
      </c>
      <c r="H41" s="505">
        <f>IF(C41="Select",0,IF(C41="A",Worksheet!$Z$62,IF(C41="B",Worksheet!$Z$63,IF(C41="C",Worksheet!$Z$64,IF(C41="D",Worksheet!$Z$65,IF(C41="E",Worksheet!$Z$66,IF(C41="F",Worksheet!$Z$67,FALSE)))))))</f>
        <v>0</v>
      </c>
      <c r="I41" s="506">
        <f>IF(C41="Select",0,IF(C41="A",Worksheet!$AA$62,IF(C41="B",Worksheet!$AA$63,IF(C41="C",Worksheet!$AA$64,IF(C41="D",Worksheet!$AA$65,IF(C41="E",Worksheet!$AA$66,IF(C41="F",Worksheet!$AA$67,FALSE)))))))</f>
        <v>0</v>
      </c>
      <c r="J41" s="18"/>
      <c r="K41" s="464">
        <f>ROUND(K17*(((D41*Worksheet!$B$6)+(E41*Worksheet!$B$7))/Worksheet!$B$5),0)</f>
        <v>0</v>
      </c>
      <c r="L41" s="464">
        <f>IF($L$6=0,"",(ROUND(L17*(((E41*Worksheet!$C$6)+(F41*Worksheet!$C$7))/Worksheet!$C$5),0)))</f>
        <v>0</v>
      </c>
      <c r="M41" s="464">
        <f>IF($M$6=0,"",(ROUND(M17*(((F41*Worksheet!$D$6)+(G41*Worksheet!$D$7))/Worksheet!$D$5),0)))</f>
        <v>0</v>
      </c>
      <c r="N41" s="464">
        <f>IF($N$6=0,"",(ROUND(N17*(((G41*Worksheet!$E$6)+(H41*Worksheet!$E$7))/Worksheet!$E$5),0)))</f>
        <v>0</v>
      </c>
      <c r="O41" s="464">
        <f>IF($O$6=0,"",(ROUND(O17*(((H41*Worksheet!$F$6)+(I41*Worksheet!$F$7))/Worksheet!$F$5),0)))</f>
        <v>0</v>
      </c>
      <c r="P41" s="466">
        <f t="shared" si="3"/>
        <v>0</v>
      </c>
      <c r="Q41" s="247"/>
      <c r="R41" s="248" t="s">
        <v>44</v>
      </c>
      <c r="S41" s="249"/>
      <c r="T41" s="249"/>
      <c r="U41" s="249"/>
      <c r="V41" s="249"/>
      <c r="W41" s="250"/>
    </row>
    <row r="42" spans="1:23" ht="12.75" hidden="1" customHeight="1" x14ac:dyDescent="0.2">
      <c r="A42" s="245">
        <f t="shared" si="2"/>
        <v>8</v>
      </c>
      <c r="B42" s="245" t="str">
        <f t="shared" si="2"/>
        <v xml:space="preserve"> </v>
      </c>
      <c r="C42" s="443" t="s">
        <v>216</v>
      </c>
      <c r="D42" s="505">
        <f>IF(C42="Select",0,IF(C42="A",Worksheet!$V$62,IF(C42="B",Worksheet!$V$63,IF(C42="C",Worksheet!$V$64,IF(C42="D",Worksheet!$V$65,IF(C42="E",Worksheet!$V$66,IF(C42="F",Worksheet!$V$67,FALSE)))))))</f>
        <v>0</v>
      </c>
      <c r="E42" s="505">
        <f>IF(C42="Select",0,IF(C42="A",Worksheet!$W$62,IF(C42="B",Worksheet!$W$63,IF(C42="C",Worksheet!$W$64,IF(C42="D",Worksheet!$W$65,IF(C42="E",Worksheet!$W$66,IF(C42="F",Worksheet!$W$67,FALSE)))))))</f>
        <v>0</v>
      </c>
      <c r="F42" s="505">
        <f>IF(C42="Select",0,IF(C42="Select","",IF(C42="A",Worksheet!$X$62,IF(C42="B",Worksheet!$X$63,IF(C42="C",Worksheet!$X$64,IF(C42="D",Worksheet!$X$65,IF(C42="E",Worksheet!$X$66,IF(C42="F",Worksheet!$X$67,FALSE))))))))</f>
        <v>0</v>
      </c>
      <c r="G42" s="505">
        <f>IF(C42="Select",0,IF(C42="A",Worksheet!$Y$62,IF(C42="B",Worksheet!$Y$63,IF(C42="C",Worksheet!$Y$64,IF(C42="D",Worksheet!$Y$65,IF(C42="E",Worksheet!$Y$66,IF(C42="F",Worksheet!$Y$67,FALSE)))))))</f>
        <v>0</v>
      </c>
      <c r="H42" s="505">
        <f>IF(C42="Select",0,IF(C42="A",Worksheet!$Z$62,IF(C42="B",Worksheet!$Z$63,IF(C42="C",Worksheet!$Z$64,IF(C42="D",Worksheet!$Z$65,IF(C42="E",Worksheet!$Z$66,IF(C42="F",Worksheet!$Z$67,FALSE)))))))</f>
        <v>0</v>
      </c>
      <c r="I42" s="506">
        <f>IF(C42="Select",0,IF(C42="A",Worksheet!$AA$62,IF(C42="B",Worksheet!$AA$63,IF(C42="C",Worksheet!$AA$64,IF(C42="D",Worksheet!$AA$65,IF(C42="E",Worksheet!$AA$66,IF(C42="F",Worksheet!$AA$67,FALSE)))))))</f>
        <v>0</v>
      </c>
      <c r="J42" s="18"/>
      <c r="K42" s="464">
        <f>ROUND(K18*(((D42*Worksheet!$B$6)+(E42*Worksheet!$B$7))/Worksheet!$B$5),0)</f>
        <v>0</v>
      </c>
      <c r="L42" s="464">
        <f>IF($L$6=0,"",(ROUND(L18*(((E42*Worksheet!$C$6)+(F42*Worksheet!$C$7))/Worksheet!$C$5),0)))</f>
        <v>0</v>
      </c>
      <c r="M42" s="464">
        <f>IF($M$6=0,"",(ROUND(M18*(((F42*Worksheet!$D$6)+(G42*Worksheet!$D$7))/Worksheet!$D$5),0)))</f>
        <v>0</v>
      </c>
      <c r="N42" s="464">
        <f>IF($N$6=0,"",(ROUND(N18*(((G42*Worksheet!$E$6)+(H42*Worksheet!$E$7))/Worksheet!$E$5),0)))</f>
        <v>0</v>
      </c>
      <c r="O42" s="464">
        <f>IF($O$6=0,"",(ROUND(O18*(((H42*Worksheet!$F$6)+(I42*Worksheet!$F$7))/Worksheet!$F$5),0)))</f>
        <v>0</v>
      </c>
      <c r="P42" s="466">
        <f t="shared" si="3"/>
        <v>0</v>
      </c>
      <c r="Q42" s="247"/>
      <c r="R42" s="251" t="s">
        <v>45</v>
      </c>
      <c r="S42" s="712" t="s">
        <v>46</v>
      </c>
      <c r="T42" s="713"/>
      <c r="U42" s="713"/>
      <c r="V42" s="713"/>
      <c r="W42" s="714"/>
    </row>
    <row r="43" spans="1:23" ht="12.75" hidden="1" customHeight="1" x14ac:dyDescent="0.2">
      <c r="A43" s="245">
        <f t="shared" si="2"/>
        <v>9</v>
      </c>
      <c r="B43" s="245" t="str">
        <f t="shared" si="2"/>
        <v xml:space="preserve"> </v>
      </c>
      <c r="C43" s="443" t="s">
        <v>216</v>
      </c>
      <c r="D43" s="505">
        <f>IF(C43="Select",0,IF(C43="A",Worksheet!$V$62,IF(C43="B",Worksheet!$V$63,IF(C43="C",Worksheet!$V$64,IF(C43="D",Worksheet!$V$65,IF(C43="E",Worksheet!$V$66,IF(C43="F",Worksheet!$V$67,FALSE)))))))</f>
        <v>0</v>
      </c>
      <c r="E43" s="505">
        <f>IF(C43="Select",0,IF(C43="A",Worksheet!$W$62,IF(C43="B",Worksheet!$W$63,IF(C43="C",Worksheet!$W$64,IF(C43="D",Worksheet!$W$65,IF(C43="E",Worksheet!$W$66,IF(C43="F",Worksheet!$W$67,FALSE)))))))</f>
        <v>0</v>
      </c>
      <c r="F43" s="505">
        <f>IF(C43="Select",0,IF(C43="Select","",IF(C43="A",Worksheet!$X$62,IF(C43="B",Worksheet!$X$63,IF(C43="C",Worksheet!$X$64,IF(C43="D",Worksheet!$X$65,IF(C43="E",Worksheet!$X$66,IF(C43="F",Worksheet!$X$67,FALSE))))))))</f>
        <v>0</v>
      </c>
      <c r="G43" s="505">
        <f>IF(C43="Select",0,IF(C43="A",Worksheet!$Y$62,IF(C43="B",Worksheet!$Y$63,IF(C43="C",Worksheet!$Y$64,IF(C43="D",Worksheet!$Y$65,IF(C43="E",Worksheet!$Y$66,IF(C43="F",Worksheet!$Y$67,FALSE)))))))</f>
        <v>0</v>
      </c>
      <c r="H43" s="505">
        <f>IF(C43="Select",0,IF(C43="A",Worksheet!$Z$62,IF(C43="B",Worksheet!$Z$63,IF(C43="C",Worksheet!$Z$64,IF(C43="D",Worksheet!$Z$65,IF(C43="E",Worksheet!$Z$66,IF(C43="F",Worksheet!$Z$67,FALSE)))))))</f>
        <v>0</v>
      </c>
      <c r="I43" s="506">
        <f>IF(C43="Select",0,IF(C43="A",Worksheet!$AA$62,IF(C43="B",Worksheet!$AA$63,IF(C43="C",Worksheet!$AA$64,IF(C43="D",Worksheet!$AA$65,IF(C43="E",Worksheet!$AA$66,IF(C43="F",Worksheet!$AA$67,FALSE)))))))</f>
        <v>0</v>
      </c>
      <c r="J43" s="18"/>
      <c r="K43" s="464">
        <f>ROUND(K19*(((D43*Worksheet!$B$6)+(E43*Worksheet!$B$7))/Worksheet!$B$5),0)</f>
        <v>0</v>
      </c>
      <c r="L43" s="464">
        <f>IF($L$6=0,"",(ROUND(L19*(((E43*Worksheet!$C$6)+(F43*Worksheet!$C$7))/Worksheet!$C$5),0)))</f>
        <v>0</v>
      </c>
      <c r="M43" s="464">
        <f>IF($M$6=0,"",(ROUND(M19*(((F43*Worksheet!$D$6)+(G43*Worksheet!$D$7))/Worksheet!$D$5),0)))</f>
        <v>0</v>
      </c>
      <c r="N43" s="464">
        <f>IF($N$6=0,"",(ROUND(N19*(((G43*Worksheet!$E$6)+(H43*Worksheet!$E$7))/Worksheet!$E$5),0)))</f>
        <v>0</v>
      </c>
      <c r="O43" s="464">
        <f>IF($O$6=0,"",(ROUND(O19*(((H43*Worksheet!$F$6)+(I43*Worksheet!$F$7))/Worksheet!$F$5),0)))</f>
        <v>0</v>
      </c>
      <c r="P43" s="466">
        <f t="shared" si="3"/>
        <v>0</v>
      </c>
      <c r="Q43" s="247"/>
      <c r="R43" s="251" t="s">
        <v>47</v>
      </c>
      <c r="S43" s="715" t="s">
        <v>48</v>
      </c>
      <c r="T43" s="716"/>
      <c r="U43" s="716"/>
      <c r="V43" s="716"/>
      <c r="W43" s="717"/>
    </row>
    <row r="44" spans="1:23" ht="12.75" hidden="1" customHeight="1" x14ac:dyDescent="0.2">
      <c r="A44" s="245">
        <f t="shared" si="2"/>
        <v>10</v>
      </c>
      <c r="B44" s="245" t="str">
        <f t="shared" si="2"/>
        <v xml:space="preserve"> </v>
      </c>
      <c r="C44" s="443" t="s">
        <v>216</v>
      </c>
      <c r="D44" s="505">
        <f>IF(C44="Select",0,IF(C44="A",Worksheet!$V$62,IF(C44="B",Worksheet!$V$63,IF(C44="C",Worksheet!$V$64,IF(C44="D",Worksheet!$V$65,IF(C44="E",Worksheet!$V$66,IF(C44="F",Worksheet!$V$67,FALSE)))))))</f>
        <v>0</v>
      </c>
      <c r="E44" s="505">
        <f>IF(C44="Select",0,IF(C44="A",Worksheet!$W$62,IF(C44="B",Worksheet!$W$63,IF(C44="C",Worksheet!$W$64,IF(C44="D",Worksheet!$W$65,IF(C44="E",Worksheet!$W$66,IF(C44="F",Worksheet!$W$67,FALSE)))))))</f>
        <v>0</v>
      </c>
      <c r="F44" s="505">
        <f>IF(C44="Select",0,IF(C44="Select","",IF(C44="A",Worksheet!$X$62,IF(C44="B",Worksheet!$X$63,IF(C44="C",Worksheet!$X$64,IF(C44="D",Worksheet!$X$65,IF(C44="E",Worksheet!$X$66,IF(C44="F",Worksheet!$X$67,FALSE))))))))</f>
        <v>0</v>
      </c>
      <c r="G44" s="505">
        <f>IF(C44="Select",0,IF(C44="A",Worksheet!$Y$62,IF(C44="B",Worksheet!$Y$63,IF(C44="C",Worksheet!$Y$64,IF(C44="D",Worksheet!$Y$65,IF(C44="E",Worksheet!$Y$66,IF(C44="F",Worksheet!$Y$67,FALSE)))))))</f>
        <v>0</v>
      </c>
      <c r="H44" s="505">
        <f>IF(C44="Select",0,IF(C44="A",Worksheet!$Z$62,IF(C44="B",Worksheet!$Z$63,IF(C44="C",Worksheet!$Z$64,IF(C44="D",Worksheet!$Z$65,IF(C44="E",Worksheet!$Z$66,IF(C44="F",Worksheet!$Z$67,FALSE)))))))</f>
        <v>0</v>
      </c>
      <c r="I44" s="506">
        <f>IF(C44="Select",0,IF(C44="A",Worksheet!$AA$62,IF(C44="B",Worksheet!$AA$63,IF(C44="C",Worksheet!$AA$64,IF(C44="D",Worksheet!$AA$65,IF(C44="E",Worksheet!$AA$66,IF(C44="F",Worksheet!$AA$67,FALSE)))))))</f>
        <v>0</v>
      </c>
      <c r="J44" s="18"/>
      <c r="K44" s="464">
        <f>ROUND(K20*(((D44*Worksheet!$B$6)+(E44*Worksheet!$B$7))/Worksheet!$B$5),0)</f>
        <v>0</v>
      </c>
      <c r="L44" s="464">
        <f>IF($L$6=0,"",(ROUND(L20*(((E44*Worksheet!$C$6)+(F44*Worksheet!$C$7))/Worksheet!$C$5),0)))</f>
        <v>0</v>
      </c>
      <c r="M44" s="464">
        <f>IF($M$6=0,"",(ROUND(M20*(((F44*Worksheet!$D$6)+(G44*Worksheet!$D$7))/Worksheet!$D$5),0)))</f>
        <v>0</v>
      </c>
      <c r="N44" s="464">
        <f>IF($N$6=0,"",(ROUND(N20*(((G44*Worksheet!$E$6)+(H44*Worksheet!$E$7))/Worksheet!$E$5),0)))</f>
        <v>0</v>
      </c>
      <c r="O44" s="464">
        <f>IF($O$6=0,"",(ROUND(O20*(((H44*Worksheet!$F$6)+(I44*Worksheet!$F$7))/Worksheet!$F$5),0)))</f>
        <v>0</v>
      </c>
      <c r="P44" s="466">
        <f t="shared" si="3"/>
        <v>0</v>
      </c>
      <c r="Q44" s="247"/>
      <c r="R44" s="251" t="s">
        <v>49</v>
      </c>
      <c r="S44" s="715" t="s">
        <v>50</v>
      </c>
      <c r="T44" s="716"/>
      <c r="U44" s="716"/>
      <c r="V44" s="716"/>
      <c r="W44" s="717"/>
    </row>
    <row r="45" spans="1:23" ht="12.75" hidden="1" customHeight="1" x14ac:dyDescent="0.2">
      <c r="A45" s="245">
        <f t="shared" si="2"/>
        <v>11</v>
      </c>
      <c r="B45" s="245" t="str">
        <f>B21</f>
        <v xml:space="preserve"> </v>
      </c>
      <c r="C45" s="443" t="s">
        <v>216</v>
      </c>
      <c r="D45" s="505">
        <f>IF(C45="Select",0,IF(C45="A",Worksheet!$V$62,IF(C45="B",Worksheet!$V$63,IF(C45="C",Worksheet!$V$64,IF(C45="D",Worksheet!$V$65,IF(C45="E",Worksheet!$V$66,IF(C45="F",Worksheet!$V$67,FALSE)))))))</f>
        <v>0</v>
      </c>
      <c r="E45" s="505">
        <f>IF(C45="Select",0,IF(C45="A",Worksheet!$W$62,IF(C45="B",Worksheet!$W$63,IF(C45="C",Worksheet!$W$64,IF(C45="D",Worksheet!$W$65,IF(C45="E",Worksheet!$W$66,IF(C45="F",Worksheet!$W$67,FALSE)))))))</f>
        <v>0</v>
      </c>
      <c r="F45" s="505">
        <f>IF(C45="Select",0,IF(C45="Select","",IF(C45="A",Worksheet!$X$62,IF(C45="B",Worksheet!$X$63,IF(C45="C",Worksheet!$X$64,IF(C45="D",Worksheet!$X$65,IF(C45="E",Worksheet!$X$66,IF(C45="F",Worksheet!$X$67,FALSE))))))))</f>
        <v>0</v>
      </c>
      <c r="G45" s="505">
        <f>IF(C45="Select",0,IF(C45="A",Worksheet!$Y$62,IF(C45="B",Worksheet!$Y$63,IF(C45="C",Worksheet!$Y$64,IF(C45="D",Worksheet!$Y$65,IF(C45="E",Worksheet!$Y$66,IF(C45="F",Worksheet!$Y$67,FALSE)))))))</f>
        <v>0</v>
      </c>
      <c r="H45" s="505">
        <f>IF(C45="Select",0,IF(C45="A",Worksheet!$Z$62,IF(C45="B",Worksheet!$Z$63,IF(C45="C",Worksheet!$Z$64,IF(C45="D",Worksheet!$Z$65,IF(C45="E",Worksheet!$Z$66,IF(C45="F",Worksheet!$Z$67,FALSE)))))))</f>
        <v>0</v>
      </c>
      <c r="I45" s="506">
        <f>IF(C45="Select",0,IF(C45="A",Worksheet!$AA$62,IF(C45="B",Worksheet!$AA$63,IF(C45="C",Worksheet!$AA$64,IF(C45="D",Worksheet!$AA$65,IF(C45="E",Worksheet!$AA$66,IF(C45="F",Worksheet!$AA$67,FALSE)))))))</f>
        <v>0</v>
      </c>
      <c r="J45" s="18"/>
      <c r="K45" s="464">
        <f>ROUND(K21*(((D45*Worksheet!$B$6)+(E45*Worksheet!$B$7))/Worksheet!$B$5),0)</f>
        <v>0</v>
      </c>
      <c r="L45" s="464">
        <f>IF($L$6=0,"",(ROUND(L21*(((E45*Worksheet!$C$6)+(F45*Worksheet!$C$7))/Worksheet!$C$5),0)))</f>
        <v>0</v>
      </c>
      <c r="M45" s="464">
        <f>IF($M$6=0,"",(ROUND(M21*(((F45*Worksheet!$D$6)+(G45*Worksheet!$D$7))/Worksheet!$D$5),0)))</f>
        <v>0</v>
      </c>
      <c r="N45" s="464">
        <f>IF($N$6=0,"",(ROUND(N21*(((G45*Worksheet!$E$6)+(H45*Worksheet!$E$7))/Worksheet!$E$5),0)))</f>
        <v>0</v>
      </c>
      <c r="O45" s="464">
        <f>IF($O$6=0,"",(ROUND(O21*(((H45*Worksheet!$F$6)+(I45*Worksheet!$F$7))/Worksheet!$F$5),0)))</f>
        <v>0</v>
      </c>
      <c r="P45" s="466">
        <f t="shared" si="3"/>
        <v>0</v>
      </c>
      <c r="Q45" s="247"/>
    </row>
    <row r="46" spans="1:23" ht="12.75" hidden="1" customHeight="1" x14ac:dyDescent="0.2">
      <c r="A46" s="245">
        <f t="shared" si="2"/>
        <v>12</v>
      </c>
      <c r="B46" s="245" t="str">
        <f t="shared" si="2"/>
        <v xml:space="preserve"> </v>
      </c>
      <c r="C46" s="443" t="s">
        <v>216</v>
      </c>
      <c r="D46" s="505">
        <f>IF(C46="Select",0,IF(C46="A",Worksheet!$V$62,IF(C46="B",Worksheet!$V$63,IF(C46="C",Worksheet!$V$64,IF(C46="D",Worksheet!$V$65,IF(C46="E",Worksheet!$V$66,IF(C46="F",Worksheet!$V$67,FALSE)))))))</f>
        <v>0</v>
      </c>
      <c r="E46" s="505">
        <f>IF(C46="Select",0,IF(C46="A",Worksheet!$W$62,IF(C46="B",Worksheet!$W$63,IF(C46="C",Worksheet!$W$64,IF(C46="D",Worksheet!$W$65,IF(C46="E",Worksheet!$W$66,IF(C46="F",Worksheet!$W$67,FALSE)))))))</f>
        <v>0</v>
      </c>
      <c r="F46" s="505">
        <f>IF(C46="Select",0,IF(C46="Select","",IF(C46="A",Worksheet!$X$62,IF(C46="B",Worksheet!$X$63,IF(C46="C",Worksheet!$X$64,IF(C46="D",Worksheet!$X$65,IF(C46="E",Worksheet!$X$66,IF(C46="F",Worksheet!$X$67,FALSE))))))))</f>
        <v>0</v>
      </c>
      <c r="G46" s="505">
        <f>IF(C46="Select",0,IF(C46="A",Worksheet!$Y$62,IF(C46="B",Worksheet!$Y$63,IF(C46="C",Worksheet!$Y$64,IF(C46="D",Worksheet!$Y$65,IF(C46="E",Worksheet!$Y$66,IF(C46="F",Worksheet!$Y$67,FALSE)))))))</f>
        <v>0</v>
      </c>
      <c r="H46" s="505">
        <f>IF(C46="Select",0,IF(C46="A",Worksheet!$Z$62,IF(C46="B",Worksheet!$Z$63,IF(C46="C",Worksheet!$Z$64,IF(C46="D",Worksheet!$Z$65,IF(C46="E",Worksheet!$Z$66,IF(C46="F",Worksheet!$Z$67,FALSE)))))))</f>
        <v>0</v>
      </c>
      <c r="I46" s="506">
        <f>IF(C46="Select",0,IF(C46="A",Worksheet!$AA$62,IF(C46="B",Worksheet!$AA$63,IF(C46="C",Worksheet!$AA$64,IF(C46="D",Worksheet!$AA$65,IF(C46="E",Worksheet!$AA$66,IF(C46="F",Worksheet!$AA$67,FALSE)))))))</f>
        <v>0</v>
      </c>
      <c r="J46" s="18"/>
      <c r="K46" s="464">
        <f>ROUND(K22*(((D46*Worksheet!$B$6)+(E46*Worksheet!$B$7))/Worksheet!$B$5),0)</f>
        <v>0</v>
      </c>
      <c r="L46" s="464">
        <f>IF($L$6=0,"",(ROUND(L22*(((E46*Worksheet!$C$6)+(F46*Worksheet!$C$7))/Worksheet!$C$5),0)))</f>
        <v>0</v>
      </c>
      <c r="M46" s="464">
        <f>IF($M$6=0,"",(ROUND(M22*(((F46*Worksheet!$D$6)+(G46*Worksheet!$D$7))/Worksheet!$D$5),0)))</f>
        <v>0</v>
      </c>
      <c r="N46" s="464">
        <f>IF($N$6=0,"",(ROUND(N22*(((G46*Worksheet!$E$6)+(H46*Worksheet!$E$7))/Worksheet!$E$5),0)))</f>
        <v>0</v>
      </c>
      <c r="O46" s="464">
        <f>IF($O$6=0,"",(ROUND(O22*(((H46*Worksheet!$F$6)+(I46*Worksheet!$F$7))/Worksheet!$F$5),0)))</f>
        <v>0</v>
      </c>
      <c r="P46" s="466">
        <f t="shared" si="3"/>
        <v>0</v>
      </c>
      <c r="Q46" s="247"/>
    </row>
    <row r="47" spans="1:23" ht="12.75" hidden="1" customHeight="1" x14ac:dyDescent="0.2">
      <c r="A47" s="245">
        <f t="shared" si="2"/>
        <v>13</v>
      </c>
      <c r="B47" s="245" t="str">
        <f t="shared" si="2"/>
        <v xml:space="preserve"> </v>
      </c>
      <c r="C47" s="443" t="s">
        <v>216</v>
      </c>
      <c r="D47" s="505">
        <f>IF(C47="Select",0,IF(C47="A",Worksheet!$V$62,IF(C47="B",Worksheet!$V$63,IF(C47="C",Worksheet!$V$64,IF(C47="D",Worksheet!$V$65,IF(C47="E",Worksheet!$V$66,IF(C47="F",Worksheet!$V$67,FALSE)))))))</f>
        <v>0</v>
      </c>
      <c r="E47" s="505">
        <f>IF(C47="Select",0,IF(C47="A",Worksheet!$W$62,IF(C47="B",Worksheet!$W$63,IF(C47="C",Worksheet!$W$64,IF(C47="D",Worksheet!$W$65,IF(C47="E",Worksheet!$W$66,IF(C47="F",Worksheet!$W$67,FALSE)))))))</f>
        <v>0</v>
      </c>
      <c r="F47" s="505">
        <f>IF(C47="Select",0,IF(C47="Select","",IF(C47="A",Worksheet!$X$62,IF(C47="B",Worksheet!$X$63,IF(C47="C",Worksheet!$X$64,IF(C47="D",Worksheet!$X$65,IF(C47="E",Worksheet!$X$66,IF(C47="F",Worksheet!$X$67,FALSE))))))))</f>
        <v>0</v>
      </c>
      <c r="G47" s="505">
        <f>IF(C47="Select",0,IF(C47="A",Worksheet!$Y$62,IF(C47="B",Worksheet!$Y$63,IF(C47="C",Worksheet!$Y$64,IF(C47="D",Worksheet!$Y$65,IF(C47="E",Worksheet!$Y$66,IF(C47="F",Worksheet!$Y$67,FALSE)))))))</f>
        <v>0</v>
      </c>
      <c r="H47" s="505">
        <f>IF(C47="Select",0,IF(C47="A",Worksheet!$Z$62,IF(C47="B",Worksheet!$Z$63,IF(C47="C",Worksheet!$Z$64,IF(C47="D",Worksheet!$Z$65,IF(C47="E",Worksheet!$Z$66,IF(C47="F",Worksheet!$Z$67,FALSE)))))))</f>
        <v>0</v>
      </c>
      <c r="I47" s="506">
        <f>IF(C47="Select",0,IF(C47="A",Worksheet!$AA$62,IF(C47="B",Worksheet!$AA$63,IF(C47="C",Worksheet!$AA$64,IF(C47="D",Worksheet!$AA$65,IF(C47="E",Worksheet!$AA$66,IF(C47="F",Worksheet!$AA$67,FALSE)))))))</f>
        <v>0</v>
      </c>
      <c r="J47" s="18"/>
      <c r="K47" s="464">
        <f>ROUND(K23*(((D47*Worksheet!$B$6)+(E47*Worksheet!$B$7))/Worksheet!$B$5),0)</f>
        <v>0</v>
      </c>
      <c r="L47" s="464">
        <f>IF($L$6=0,"",(ROUND(L23*(((E47*Worksheet!$C$6)+(F47*Worksheet!$C$7))/Worksheet!$C$5),0)))</f>
        <v>0</v>
      </c>
      <c r="M47" s="464">
        <f>IF($M$6=0,"",(ROUND(M23*(((F47*Worksheet!$D$6)+(G47*Worksheet!$D$7))/Worksheet!$D$5),0)))</f>
        <v>0</v>
      </c>
      <c r="N47" s="464">
        <f>IF($N$6=0,"",(ROUND(N23*(((G47*Worksheet!$E$6)+(H47*Worksheet!$E$7))/Worksheet!$E$5),0)))</f>
        <v>0</v>
      </c>
      <c r="O47" s="464">
        <f>IF($O$6=0,"",(ROUND(O23*(((H47*Worksheet!$F$6)+(I47*Worksheet!$F$7))/Worksheet!$F$5),0)))</f>
        <v>0</v>
      </c>
      <c r="P47" s="466">
        <f t="shared" si="3"/>
        <v>0</v>
      </c>
      <c r="Q47" s="247"/>
    </row>
    <row r="48" spans="1:23" ht="12.75" hidden="1" customHeight="1" x14ac:dyDescent="0.2">
      <c r="A48" s="245">
        <f t="shared" si="2"/>
        <v>14</v>
      </c>
      <c r="B48" s="245" t="str">
        <f t="shared" si="2"/>
        <v xml:space="preserve"> </v>
      </c>
      <c r="C48" s="443" t="s">
        <v>216</v>
      </c>
      <c r="D48" s="505">
        <f>IF(C48="Select",0,IF(C48="A",Worksheet!$V$62,IF(C48="B",Worksheet!$V$63,IF(C48="C",Worksheet!$V$64,IF(C48="D",Worksheet!$V$65,IF(C48="E",Worksheet!$V$66,IF(C48="F",Worksheet!$V$67,FALSE)))))))</f>
        <v>0</v>
      </c>
      <c r="E48" s="505">
        <f>IF(C48="Select",0,IF(C48="A",Worksheet!$W$62,IF(C48="B",Worksheet!$W$63,IF(C48="C",Worksheet!$W$64,IF(C48="D",Worksheet!$W$65,IF(C48="E",Worksheet!$W$66,IF(C48="F",Worksheet!$W$67,FALSE)))))))</f>
        <v>0</v>
      </c>
      <c r="F48" s="505">
        <f>IF(C48="Select",0,IF(C48="Select","",IF(C48="A",Worksheet!$X$62,IF(C48="B",Worksheet!$X$63,IF(C48="C",Worksheet!$X$64,IF(C48="D",Worksheet!$X$65,IF(C48="E",Worksheet!$X$66,IF(C48="F",Worksheet!$X$67,FALSE))))))))</f>
        <v>0</v>
      </c>
      <c r="G48" s="505">
        <f>IF(C48="Select",0,IF(C48="A",Worksheet!$Y$62,IF(C48="B",Worksheet!$Y$63,IF(C48="C",Worksheet!$Y$64,IF(C48="D",Worksheet!$Y$65,IF(C48="E",Worksheet!$Y$66,IF(C48="F",Worksheet!$Y$67,FALSE)))))))</f>
        <v>0</v>
      </c>
      <c r="H48" s="505">
        <f>IF(C48="Select",0,IF(C48="A",Worksheet!$Z$62,IF(C48="B",Worksheet!$Z$63,IF(C48="C",Worksheet!$Z$64,IF(C48="D",Worksheet!$Z$65,IF(C48="E",Worksheet!$Z$66,IF(C48="F",Worksheet!$Z$67,FALSE)))))))</f>
        <v>0</v>
      </c>
      <c r="I48" s="506">
        <f>IF(C48="Select",0,IF(C48="A",Worksheet!$AA$62,IF(C48="B",Worksheet!$AA$63,IF(C48="C",Worksheet!$AA$64,IF(C48="D",Worksheet!$AA$65,IF(C48="E",Worksheet!$AA$66,IF(C48="F",Worksheet!$AA$67,FALSE)))))))</f>
        <v>0</v>
      </c>
      <c r="J48" s="18"/>
      <c r="K48" s="464">
        <f>ROUND(K24*(((D48*Worksheet!$B$6)+(E48*Worksheet!$B$7))/Worksheet!$B$5),0)</f>
        <v>0</v>
      </c>
      <c r="L48" s="464">
        <f>IF($L$6=0,"",(ROUND(L24*(((E48*Worksheet!$C$6)+(F48*Worksheet!$C$7))/Worksheet!$C$5),0)))</f>
        <v>0</v>
      </c>
      <c r="M48" s="464">
        <f>IF($M$6=0,"",(ROUND(M24*(((F48*Worksheet!$D$6)+(G48*Worksheet!$D$7))/Worksheet!$D$5),0)))</f>
        <v>0</v>
      </c>
      <c r="N48" s="464">
        <f>IF($N$6=0,"",(ROUND(N24*(((G48*Worksheet!$E$6)+(H48*Worksheet!$E$7))/Worksheet!$E$5),0)))</f>
        <v>0</v>
      </c>
      <c r="O48" s="464">
        <f>IF($O$6=0,"",(ROUND(O24*(((H48*Worksheet!$F$6)+(I48*Worksheet!$F$7))/Worksheet!$F$5),0)))</f>
        <v>0</v>
      </c>
      <c r="P48" s="466">
        <f t="shared" si="3"/>
        <v>0</v>
      </c>
      <c r="Q48" s="247"/>
    </row>
    <row r="49" spans="1:30" ht="12.75" hidden="1" customHeight="1" x14ac:dyDescent="0.2">
      <c r="A49" s="245">
        <f t="shared" si="2"/>
        <v>15</v>
      </c>
      <c r="B49" s="245" t="str">
        <f t="shared" si="2"/>
        <v xml:space="preserve"> </v>
      </c>
      <c r="C49" s="443" t="s">
        <v>216</v>
      </c>
      <c r="D49" s="505">
        <f>IF(C49="Select",0,IF(C49="A",Worksheet!$V$62,IF(C49="B",Worksheet!$V$63,IF(C49="C",Worksheet!$V$64,IF(C49="D",Worksheet!$V$65,IF(C49="E",Worksheet!$V$66,IF(C49="F",Worksheet!$V$67,FALSE)))))))</f>
        <v>0</v>
      </c>
      <c r="E49" s="505">
        <f>IF(C49="Select",0,IF(C49="A",Worksheet!$W$62,IF(C49="B",Worksheet!$W$63,IF(C49="C",Worksheet!$W$64,IF(C49="D",Worksheet!$W$65,IF(C49="E",Worksheet!$W$66,IF(C49="F",Worksheet!$W$67,FALSE)))))))</f>
        <v>0</v>
      </c>
      <c r="F49" s="505">
        <f>IF(C49="Select",0,IF(C49="Select","",IF(C49="A",Worksheet!$X$62,IF(C49="B",Worksheet!$X$63,IF(C49="C",Worksheet!$X$64,IF(C49="D",Worksheet!$X$65,IF(C49="E",Worksheet!$X$66,IF(C49="F",Worksheet!$X$67,FALSE))))))))</f>
        <v>0</v>
      </c>
      <c r="G49" s="505">
        <f>IF(C49="Select",0,IF(C49="A",Worksheet!$Y$62,IF(C49="B",Worksheet!$Y$63,IF(C49="C",Worksheet!$Y$64,IF(C49="D",Worksheet!$Y$65,IF(C49="E",Worksheet!$Y$66,IF(C49="F",Worksheet!$Y$67,FALSE)))))))</f>
        <v>0</v>
      </c>
      <c r="H49" s="505">
        <f>IF(C49="Select",0,IF(C49="A",Worksheet!$Z$62,IF(C49="B",Worksheet!$Z$63,IF(C49="C",Worksheet!$Z$64,IF(C49="D",Worksheet!$Z$65,IF(C49="E",Worksheet!$Z$66,IF(C49="F",Worksheet!$Z$67,FALSE)))))))</f>
        <v>0</v>
      </c>
      <c r="I49" s="506">
        <f>IF(C49="Select",0,IF(C49="A",Worksheet!$AA$62,IF(C49="B",Worksheet!$AA$63,IF(C49="C",Worksheet!$AA$64,IF(C49="D",Worksheet!$AA$65,IF(C49="E",Worksheet!$AA$66,IF(C49="F",Worksheet!$AA$67,FALSE)))))))</f>
        <v>0</v>
      </c>
      <c r="J49" s="18"/>
      <c r="K49" s="464">
        <f>ROUND(K25*(((D49*Worksheet!$B$6)+(E49*Worksheet!$B$7))/Worksheet!$B$5),0)</f>
        <v>0</v>
      </c>
      <c r="L49" s="464">
        <f>IF($L$6=0,"",(ROUND(L25*(((E49*Worksheet!$C$6)+(F49*Worksheet!$C$7))/Worksheet!$C$5),0)))</f>
        <v>0</v>
      </c>
      <c r="M49" s="464">
        <f>IF($M$6=0,"",(ROUND(M25*(((F49*Worksheet!$D$6)+(G49*Worksheet!$D$7))/Worksheet!$D$5),0)))</f>
        <v>0</v>
      </c>
      <c r="N49" s="464">
        <f>IF($N$6=0,"",(ROUND(N25*(((G49*Worksheet!$E$6)+(H49*Worksheet!$E$7))/Worksheet!$E$5),0)))</f>
        <v>0</v>
      </c>
      <c r="O49" s="464">
        <f>IF($O$6=0,"",(ROUND(O25*(((H49*Worksheet!$F$6)+(I49*Worksheet!$F$7))/Worksheet!$F$5),0)))</f>
        <v>0</v>
      </c>
      <c r="P49" s="466">
        <f t="shared" si="3"/>
        <v>0</v>
      </c>
      <c r="Q49" s="247"/>
    </row>
    <row r="50" spans="1:30" ht="12.75" hidden="1" customHeight="1" x14ac:dyDescent="0.2">
      <c r="A50" s="245">
        <f t="shared" si="2"/>
        <v>16</v>
      </c>
      <c r="B50" s="245" t="str">
        <f t="shared" si="2"/>
        <v xml:space="preserve"> </v>
      </c>
      <c r="C50" s="443" t="s">
        <v>216</v>
      </c>
      <c r="D50" s="505">
        <f>IF(C50="Select",0,IF(C50="A",Worksheet!$V$62,IF(C50="B",Worksheet!$V$63,IF(C50="C",Worksheet!$V$64,IF(C50="D",Worksheet!$V$65,IF(C50="E",Worksheet!$V$66,IF(C50="F",Worksheet!$V$67,FALSE)))))))</f>
        <v>0</v>
      </c>
      <c r="E50" s="505">
        <f>IF(C50="Select",0,IF(C50="A",Worksheet!$W$62,IF(C50="B",Worksheet!$W$63,IF(C50="C",Worksheet!$W$64,IF(C50="D",Worksheet!$W$65,IF(C50="E",Worksheet!$W$66,IF(C50="F",Worksheet!$W$67,FALSE)))))))</f>
        <v>0</v>
      </c>
      <c r="F50" s="505">
        <f>IF(C50="Select",0,IF(C50="Select","",IF(C50="A",Worksheet!$X$62,IF(C50="B",Worksheet!$X$63,IF(C50="C",Worksheet!$X$64,IF(C50="D",Worksheet!$X$65,IF(C50="E",Worksheet!$X$66,IF(C50="F",Worksheet!$X$67,FALSE))))))))</f>
        <v>0</v>
      </c>
      <c r="G50" s="505">
        <f>IF(C50="Select",0,IF(C50="A",Worksheet!$Y$62,IF(C50="B",Worksheet!$Y$63,IF(C50="C",Worksheet!$Y$64,IF(C50="D",Worksheet!$Y$65,IF(C50="E",Worksheet!$Y$66,IF(C50="F",Worksheet!$Y$67,FALSE)))))))</f>
        <v>0</v>
      </c>
      <c r="H50" s="505">
        <f>IF(C50="Select",0,IF(C50="A",Worksheet!$Z$62,IF(C50="B",Worksheet!$Z$63,IF(C50="C",Worksheet!$Z$64,IF(C50="D",Worksheet!$Z$65,IF(C50="E",Worksheet!$Z$66,IF(C50="F",Worksheet!$Z$67,FALSE)))))))</f>
        <v>0</v>
      </c>
      <c r="I50" s="506">
        <f>IF(C50="Select",0,IF(C50="A",Worksheet!$AA$62,IF(C50="B",Worksheet!$AA$63,IF(C50="C",Worksheet!$AA$64,IF(C50="D",Worksheet!$AA$65,IF(C50="E",Worksheet!$AA$66,IF(C50="F",Worksheet!$AA$67,FALSE)))))))</f>
        <v>0</v>
      </c>
      <c r="J50" s="18"/>
      <c r="K50" s="464">
        <f>ROUND(K26*(((D50*Worksheet!$B$6)+(E50*Worksheet!$B$7))/Worksheet!$B$5),0)</f>
        <v>0</v>
      </c>
      <c r="L50" s="464">
        <f>IF($L$6=0,"",(ROUND(L26*(((E50*Worksheet!$C$6)+(F50*Worksheet!$C$7))/Worksheet!$C$5),0)))</f>
        <v>0</v>
      </c>
      <c r="M50" s="464">
        <f>IF($M$6=0,"",(ROUND(M26*(((F50*Worksheet!$D$6)+(G50*Worksheet!$D$7))/Worksheet!$D$5),0)))</f>
        <v>0</v>
      </c>
      <c r="N50" s="464">
        <f>IF($N$6=0,"",(ROUND(N26*(((G50*Worksheet!$E$6)+(H50*Worksheet!$E$7))/Worksheet!$E$5),0)))</f>
        <v>0</v>
      </c>
      <c r="O50" s="464">
        <f>IF($O$6=0,"",(ROUND(O26*(((H50*Worksheet!$F$6)+(I50*Worksheet!$F$7))/Worksheet!$F$5),0)))</f>
        <v>0</v>
      </c>
      <c r="P50" s="466">
        <f t="shared" si="3"/>
        <v>0</v>
      </c>
      <c r="Q50" s="247"/>
    </row>
    <row r="51" spans="1:30" ht="12.75" hidden="1" customHeight="1" x14ac:dyDescent="0.2">
      <c r="A51" s="245">
        <f t="shared" si="2"/>
        <v>17</v>
      </c>
      <c r="B51" s="245" t="str">
        <f t="shared" si="2"/>
        <v xml:space="preserve"> </v>
      </c>
      <c r="C51" s="443" t="s">
        <v>216</v>
      </c>
      <c r="D51" s="505">
        <f>IF(C51="Select",0,IF(C51="A",Worksheet!$V$62,IF(C51="B",Worksheet!$V$63,IF(C51="C",Worksheet!$V$64,IF(C51="D",Worksheet!$V$65,IF(C51="E",Worksheet!$V$66,IF(C51="F",Worksheet!$V$67,FALSE)))))))</f>
        <v>0</v>
      </c>
      <c r="E51" s="505">
        <f>IF(C51="Select",0,IF(C51="A",Worksheet!$W$62,IF(C51="B",Worksheet!$W$63,IF(C51="C",Worksheet!$W$64,IF(C51="D",Worksheet!$W$65,IF(C51="E",Worksheet!$W$66,IF(C51="F",Worksheet!$W$67,FALSE)))))))</f>
        <v>0</v>
      </c>
      <c r="F51" s="505">
        <f>IF(C51="Select",0,IF(C51="Select","",IF(C51="A",Worksheet!$X$62,IF(C51="B",Worksheet!$X$63,IF(C51="C",Worksheet!$X$64,IF(C51="D",Worksheet!$X$65,IF(C51="E",Worksheet!$X$66,IF(C51="F",Worksheet!$X$67,FALSE))))))))</f>
        <v>0</v>
      </c>
      <c r="G51" s="505">
        <f>IF(C51="Select",0,IF(C51="A",Worksheet!$Y$62,IF(C51="B",Worksheet!$Y$63,IF(C51="C",Worksheet!$Y$64,IF(C51="D",Worksheet!$Y$65,IF(C51="E",Worksheet!$Y$66,IF(C51="F",Worksheet!$Y$67,FALSE)))))))</f>
        <v>0</v>
      </c>
      <c r="H51" s="505">
        <f>IF(C51="Select",0,IF(C51="A",Worksheet!$Z$62,IF(C51="B",Worksheet!$Z$63,IF(C51="C",Worksheet!$Z$64,IF(C51="D",Worksheet!$Z$65,IF(C51="E",Worksheet!$Z$66,IF(C51="F",Worksheet!$Z$67,FALSE)))))))</f>
        <v>0</v>
      </c>
      <c r="I51" s="506">
        <f>IF(C51="Select",0,IF(C51="A",Worksheet!$AA$62,IF(C51="B",Worksheet!$AA$63,IF(C51="C",Worksheet!$AA$64,IF(C51="D",Worksheet!$AA$65,IF(C51="E",Worksheet!$AA$66,IF(C51="F",Worksheet!$AA$67,FALSE)))))))</f>
        <v>0</v>
      </c>
      <c r="J51" s="18"/>
      <c r="K51" s="464">
        <f>ROUND(K27*(((D51*Worksheet!$B$6)+(E51*Worksheet!$B$7))/Worksheet!$B$5),0)</f>
        <v>0</v>
      </c>
      <c r="L51" s="464">
        <f>IF($L$6=0,"",(ROUND(L27*(((E51*Worksheet!$C$6)+(F51*Worksheet!$C$7))/Worksheet!$C$5),0)))</f>
        <v>0</v>
      </c>
      <c r="M51" s="464">
        <f>IF($M$6=0,"",(ROUND(M27*(((F51*Worksheet!$D$6)+(G51*Worksheet!$D$7))/Worksheet!$D$5),0)))</f>
        <v>0</v>
      </c>
      <c r="N51" s="464">
        <f>IF($N$6=0,"",(ROUND(N27*(((G51*Worksheet!$E$6)+(H51*Worksheet!$E$7))/Worksheet!$E$5),0)))</f>
        <v>0</v>
      </c>
      <c r="O51" s="464">
        <f>IF($O$6=0,"",(ROUND(O27*(((H51*Worksheet!$F$6)+(I51*Worksheet!$F$7))/Worksheet!$F$5),0)))</f>
        <v>0</v>
      </c>
      <c r="P51" s="466">
        <f t="shared" si="3"/>
        <v>0</v>
      </c>
      <c r="Q51" s="247"/>
    </row>
    <row r="52" spans="1:30" ht="12.75" hidden="1" customHeight="1" x14ac:dyDescent="0.2">
      <c r="A52" s="245">
        <f t="shared" si="2"/>
        <v>18</v>
      </c>
      <c r="B52" s="245" t="str">
        <f t="shared" si="2"/>
        <v xml:space="preserve"> </v>
      </c>
      <c r="C52" s="443" t="s">
        <v>216</v>
      </c>
      <c r="D52" s="505">
        <f>IF(C52="Select",0,IF(C52="A",Worksheet!$V$62,IF(C52="B",Worksheet!$V$63,IF(C52="C",Worksheet!$V$64,IF(C52="D",Worksheet!$V$65,IF(C52="E",Worksheet!$V$66,IF(C52="F",Worksheet!$V$67,FALSE)))))))</f>
        <v>0</v>
      </c>
      <c r="E52" s="505">
        <f>IF(C52="Select",0,IF(C52="A",Worksheet!$W$62,IF(C52="B",Worksheet!$W$63,IF(C52="C",Worksheet!$W$64,IF(C52="D",Worksheet!$W$65,IF(C52="E",Worksheet!$W$66,IF(C52="F",Worksheet!$W$67,FALSE)))))))</f>
        <v>0</v>
      </c>
      <c r="F52" s="505">
        <f>IF(C52="Select",0,IF(C52="Select","",IF(C52="A",Worksheet!$X$62,IF(C52="B",Worksheet!$X$63,IF(C52="C",Worksheet!$X$64,IF(C52="D",Worksheet!$X$65,IF(C52="E",Worksheet!$X$66,IF(C52="F",Worksheet!$X$67,FALSE))))))))</f>
        <v>0</v>
      </c>
      <c r="G52" s="505">
        <f>IF(C52="Select",0,IF(C52="A",Worksheet!$Y$62,IF(C52="B",Worksheet!$Y$63,IF(C52="C",Worksheet!$Y$64,IF(C52="D",Worksheet!$Y$65,IF(C52="E",Worksheet!$Y$66,IF(C52="F",Worksheet!$Y$67,FALSE)))))))</f>
        <v>0</v>
      </c>
      <c r="H52" s="505">
        <f>IF(C52="Select",0,IF(C52="A",Worksheet!$Z$62,IF(C52="B",Worksheet!$Z$63,IF(C52="C",Worksheet!$Z$64,IF(C52="D",Worksheet!$Z$65,IF(C52="E",Worksheet!$Z$66,IF(C52="F",Worksheet!$Z$67,FALSE)))))))</f>
        <v>0</v>
      </c>
      <c r="I52" s="506">
        <f>IF(C52="Select",0,IF(C52="A",Worksheet!$AA$62,IF(C52="B",Worksheet!$AA$63,IF(C52="C",Worksheet!$AA$64,IF(C52="D",Worksheet!$AA$65,IF(C52="E",Worksheet!$AA$66,IF(C52="F",Worksheet!$AA$67,FALSE)))))))</f>
        <v>0</v>
      </c>
      <c r="J52" s="18"/>
      <c r="K52" s="464">
        <f>ROUND(K28*(((D52*Worksheet!$B$6)+(E52*Worksheet!$B$7))/Worksheet!$B$5),0)</f>
        <v>0</v>
      </c>
      <c r="L52" s="464">
        <f>IF($L$6=0,"",(ROUND(L28*(((E52*Worksheet!$C$6)+(F52*Worksheet!$C$7))/Worksheet!$C$5),0)))</f>
        <v>0</v>
      </c>
      <c r="M52" s="464">
        <f>IF($M$6=0,"",(ROUND(M28*(((F52*Worksheet!$D$6)+(G52*Worksheet!$D$7))/Worksheet!$D$5),0)))</f>
        <v>0</v>
      </c>
      <c r="N52" s="464">
        <f>IF($N$6=0,"",(ROUND(N28*(((G52*Worksheet!$E$6)+(H52*Worksheet!$E$7))/Worksheet!$E$5),0)))</f>
        <v>0</v>
      </c>
      <c r="O52" s="464">
        <f>IF($O$6=0,"",(ROUND(O28*(((H52*Worksheet!$F$6)+(I52*Worksheet!$F$7))/Worksheet!$F$5),0)))</f>
        <v>0</v>
      </c>
      <c r="P52" s="466">
        <f t="shared" si="3"/>
        <v>0</v>
      </c>
      <c r="Q52" s="247"/>
    </row>
    <row r="53" spans="1:30" ht="12.75" hidden="1" customHeight="1" x14ac:dyDescent="0.2">
      <c r="A53" s="245">
        <f t="shared" si="2"/>
        <v>19</v>
      </c>
      <c r="B53" s="245" t="str">
        <f t="shared" si="2"/>
        <v xml:space="preserve"> </v>
      </c>
      <c r="C53" s="443" t="s">
        <v>216</v>
      </c>
      <c r="D53" s="505">
        <f>IF(C53="Select",0,IF(C53="A",Worksheet!$V$62,IF(C53="B",Worksheet!$V$63,IF(C53="C",Worksheet!$V$64,IF(C53="D",Worksheet!$V$65,IF(C53="E",Worksheet!$V$66,IF(C53="F",Worksheet!$V$67,FALSE)))))))</f>
        <v>0</v>
      </c>
      <c r="E53" s="505">
        <f>IF(C53="Select",0,IF(C53="A",Worksheet!$W$62,IF(C53="B",Worksheet!$W$63,IF(C53="C",Worksheet!$W$64,IF(C53="D",Worksheet!$W$65,IF(C53="E",Worksheet!$W$66,IF(C53="F",Worksheet!$W$67,FALSE)))))))</f>
        <v>0</v>
      </c>
      <c r="F53" s="505">
        <f>IF(C53="Select",0,IF(C53="Select","",IF(C53="A",Worksheet!$X$62,IF(C53="B",Worksheet!$X$63,IF(C53="C",Worksheet!$X$64,IF(C53="D",Worksheet!$X$65,IF(C53="E",Worksheet!$X$66,IF(C53="F",Worksheet!$X$67,FALSE))))))))</f>
        <v>0</v>
      </c>
      <c r="G53" s="505">
        <f>IF(C53="Select",0,IF(C53="A",Worksheet!$Y$62,IF(C53="B",Worksheet!$Y$63,IF(C53="C",Worksheet!$Y$64,IF(C53="D",Worksheet!$Y$65,IF(C53="E",Worksheet!$Y$66,IF(C53="F",Worksheet!$Y$67,FALSE)))))))</f>
        <v>0</v>
      </c>
      <c r="H53" s="505">
        <f>IF(C53="Select",0,IF(C53="A",Worksheet!$Z$62,IF(C53="B",Worksheet!$Z$63,IF(C53="C",Worksheet!$Z$64,IF(C53="D",Worksheet!$Z$65,IF(C53="E",Worksheet!$Z$66,IF(C53="F",Worksheet!$Z$67,FALSE)))))))</f>
        <v>0</v>
      </c>
      <c r="I53" s="506">
        <f>IF(C53="Select",0,IF(C53="A",Worksheet!$AA$62,IF(C53="B",Worksheet!$AA$63,IF(C53="C",Worksheet!$AA$64,IF(C53="D",Worksheet!$AA$65,IF(C53="E",Worksheet!$AA$66,IF(C53="F",Worksheet!$AA$67,FALSE)))))))</f>
        <v>0</v>
      </c>
      <c r="J53" s="18"/>
      <c r="K53" s="464">
        <f>ROUND(K29*(((D53*Worksheet!$B$6)+(E53*Worksheet!$B$7))/Worksheet!$B$5),0)</f>
        <v>0</v>
      </c>
      <c r="L53" s="464">
        <f>IF($L$6=0,"",(ROUND(L29*(((E53*Worksheet!$C$6)+(F53*Worksheet!$C$7))/Worksheet!$C$5),0)))</f>
        <v>0</v>
      </c>
      <c r="M53" s="464">
        <f>IF($M$6=0,"",(ROUND(M29*(((F53*Worksheet!$D$6)+(G53*Worksheet!$D$7))/Worksheet!$D$5),0)))</f>
        <v>0</v>
      </c>
      <c r="N53" s="464">
        <f>IF($N$6=0,"",(ROUND(N29*(((G53*Worksheet!$E$6)+(H53*Worksheet!$E$7))/Worksheet!$E$5),0)))</f>
        <v>0</v>
      </c>
      <c r="O53" s="464">
        <f>IF($O$6=0,"",(ROUND(O29*(((H53*Worksheet!$F$6)+(I53*Worksheet!$F$7))/Worksheet!$F$5),0)))</f>
        <v>0</v>
      </c>
      <c r="P53" s="466">
        <f t="shared" si="3"/>
        <v>0</v>
      </c>
      <c r="Q53" s="247"/>
    </row>
    <row r="54" spans="1:30" ht="12.75" hidden="1" customHeight="1" x14ac:dyDescent="0.2">
      <c r="A54" s="245">
        <f t="shared" si="2"/>
        <v>20</v>
      </c>
      <c r="B54" s="245" t="str">
        <f t="shared" si="2"/>
        <v xml:space="preserve"> </v>
      </c>
      <c r="C54" s="443" t="s">
        <v>216</v>
      </c>
      <c r="D54" s="505">
        <f>IF(C54="Select",0,IF(C54="A",Worksheet!$V$62,IF(C54="B",Worksheet!$V$63,IF(C54="C",Worksheet!$V$64,IF(C54="D",Worksheet!$V$65,IF(C54="E",Worksheet!$V$66,IF(C54="F",Worksheet!$V$67,FALSE)))))))</f>
        <v>0</v>
      </c>
      <c r="E54" s="505">
        <f>IF(C54="Select",0,IF(C54="A",Worksheet!$W$62,IF(C54="B",Worksheet!$W$63,IF(C54="C",Worksheet!$W$64,IF(C54="D",Worksheet!$W$65,IF(C54="E",Worksheet!$W$66,IF(C54="F",Worksheet!$W$67,FALSE)))))))</f>
        <v>0</v>
      </c>
      <c r="F54" s="505">
        <f>IF(C54="Select",0,IF(C54="Select","",IF(C54="A",Worksheet!$X$62,IF(C54="B",Worksheet!$X$63,IF(C54="C",Worksheet!$X$64,IF(C54="D",Worksheet!$X$65,IF(C54="E",Worksheet!$X$66,IF(C54="F",Worksheet!$X$67,FALSE))))))))</f>
        <v>0</v>
      </c>
      <c r="G54" s="505">
        <f>IF(C54="Select",0,IF(C54="A",Worksheet!$Y$62,IF(C54="B",Worksheet!$Y$63,IF(C54="C",Worksheet!$Y$64,IF(C54="D",Worksheet!$Y$65,IF(C54="E",Worksheet!$Y$66,IF(C54="F",Worksheet!$Y$67,FALSE)))))))</f>
        <v>0</v>
      </c>
      <c r="H54" s="505">
        <f>IF(C54="Select",0,IF(C54="A",Worksheet!$Z$62,IF(C54="B",Worksheet!$Z$63,IF(C54="C",Worksheet!$Z$64,IF(C54="D",Worksheet!$Z$65,IF(C54="E",Worksheet!$Z$66,IF(C54="F",Worksheet!$Z$67,FALSE)))))))</f>
        <v>0</v>
      </c>
      <c r="I54" s="506">
        <f>IF(C54="Select",0,IF(C54="A",Worksheet!$AA$62,IF(C54="B",Worksheet!$AA$63,IF(C54="C",Worksheet!$AA$64,IF(C54="D",Worksheet!$AA$65,IF(C54="E",Worksheet!$AA$66,IF(C54="F",Worksheet!$AA$67,FALSE)))))))</f>
        <v>0</v>
      </c>
      <c r="J54" s="139"/>
      <c r="K54" s="464">
        <f>ROUND(K30*(((D54*Worksheet!$B$6)+(E54*Worksheet!$B$7))/Worksheet!$B$5),0)</f>
        <v>0</v>
      </c>
      <c r="L54" s="464">
        <f>IF($L$6=0,"",(ROUND(L30*(((E54*Worksheet!$C$6)+(F54*Worksheet!$C$7))/Worksheet!$C$5),0)))</f>
        <v>0</v>
      </c>
      <c r="M54" s="464">
        <f>IF($M$6=0,"",(ROUND(M30*(((F54*Worksheet!$D$6)+(G54*Worksheet!$D$7))/Worksheet!$D$5),0)))</f>
        <v>0</v>
      </c>
      <c r="N54" s="464">
        <f>IF($N$6=0,"",(ROUND(N30*(((G54*Worksheet!$E$6)+(H54*Worksheet!$E$7))/Worksheet!$E$5),0)))</f>
        <v>0</v>
      </c>
      <c r="O54" s="464">
        <f>IF($O$6=0,"",(ROUND(O30*(((H54*Worksheet!$F$6)+(I54*Worksheet!$F$7))/Worksheet!$F$5),0)))</f>
        <v>0</v>
      </c>
      <c r="P54" s="466">
        <f t="shared" si="3"/>
        <v>0</v>
      </c>
      <c r="Q54" s="247"/>
    </row>
    <row r="55" spans="1:30" ht="12.75" customHeight="1" x14ac:dyDescent="0.25">
      <c r="A55" s="727" t="s">
        <v>51</v>
      </c>
      <c r="B55" s="728"/>
      <c r="C55" s="237"/>
      <c r="D55" s="337"/>
      <c r="E55" s="337"/>
      <c r="F55" s="337"/>
      <c r="G55" s="337"/>
      <c r="H55" s="337"/>
      <c r="I55" s="337"/>
      <c r="J55" s="338"/>
      <c r="K55" s="471">
        <f>SUM(K35:K54)</f>
        <v>0</v>
      </c>
      <c r="L55" s="469">
        <f>SUM(L35:L54)</f>
        <v>0</v>
      </c>
      <c r="M55" s="469">
        <f>SUM(M35:M54)</f>
        <v>0</v>
      </c>
      <c r="N55" s="469">
        <f>SUM(N35:N54)</f>
        <v>0</v>
      </c>
      <c r="O55" s="469">
        <f>SUM(O35:O54)</f>
        <v>0</v>
      </c>
      <c r="P55" s="469">
        <f t="shared" si="3"/>
        <v>0</v>
      </c>
      <c r="Q55" s="247"/>
    </row>
    <row r="56" spans="1:30" ht="12.75" customHeight="1" x14ac:dyDescent="0.25">
      <c r="A56" s="654" t="s">
        <v>52</v>
      </c>
      <c r="B56" s="655"/>
      <c r="C56" s="254"/>
      <c r="D56" s="255"/>
      <c r="E56" s="255"/>
      <c r="F56" s="255"/>
      <c r="G56" s="255"/>
      <c r="H56" s="255"/>
      <c r="I56" s="255"/>
      <c r="J56" s="256"/>
      <c r="K56" s="277">
        <f t="shared" ref="K56:P56" si="4">K55+K31</f>
        <v>0</v>
      </c>
      <c r="L56" s="278">
        <f t="shared" si="4"/>
        <v>0</v>
      </c>
      <c r="M56" s="278">
        <f t="shared" si="4"/>
        <v>0</v>
      </c>
      <c r="N56" s="278">
        <f t="shared" si="4"/>
        <v>0</v>
      </c>
      <c r="O56" s="278">
        <f t="shared" si="4"/>
        <v>0</v>
      </c>
      <c r="P56" s="278">
        <f t="shared" si="4"/>
        <v>0</v>
      </c>
      <c r="Q56" s="257"/>
    </row>
    <row r="57" spans="1:30" ht="12.75" customHeight="1" x14ac:dyDescent="0.2">
      <c r="A57" s="212"/>
      <c r="B57" s="258"/>
      <c r="C57" s="259"/>
      <c r="D57" s="260"/>
      <c r="E57" s="260"/>
      <c r="F57" s="260"/>
      <c r="G57" s="260"/>
      <c r="H57" s="260"/>
      <c r="I57" s="260"/>
      <c r="J57" s="260"/>
      <c r="K57" s="261"/>
      <c r="L57" s="261"/>
      <c r="M57" s="261"/>
      <c r="N57" s="261"/>
      <c r="O57" s="261"/>
      <c r="P57" s="262"/>
      <c r="Q57" s="216"/>
    </row>
    <row r="58" spans="1:30" ht="12.75" customHeight="1" x14ac:dyDescent="0.25">
      <c r="A58" s="647" t="s">
        <v>53</v>
      </c>
      <c r="B58" s="648"/>
      <c r="C58" s="648"/>
      <c r="D58" s="648"/>
      <c r="E58" s="648"/>
      <c r="F58" s="648"/>
      <c r="G58" s="648"/>
      <c r="H58" s="648"/>
      <c r="I58" s="648"/>
      <c r="J58" s="648"/>
      <c r="K58" s="648"/>
      <c r="L58" s="648"/>
      <c r="M58" s="648"/>
      <c r="N58" s="648"/>
      <c r="O58" s="648"/>
      <c r="P58" s="649"/>
    </row>
    <row r="59" spans="1:30" ht="12.75" customHeight="1" x14ac:dyDescent="0.2">
      <c r="A59" s="176">
        <v>1</v>
      </c>
      <c r="B59" s="650"/>
      <c r="C59" s="650"/>
      <c r="D59" s="650"/>
      <c r="E59" s="650"/>
      <c r="F59" s="650"/>
      <c r="G59" s="650"/>
      <c r="H59" s="650"/>
      <c r="I59" s="650"/>
      <c r="J59" s="650"/>
      <c r="K59" s="215">
        <v>0</v>
      </c>
      <c r="L59" s="215">
        <v>0</v>
      </c>
      <c r="M59" s="215">
        <v>0</v>
      </c>
      <c r="N59" s="215">
        <v>0</v>
      </c>
      <c r="O59" s="215">
        <v>0</v>
      </c>
      <c r="P59" s="283">
        <f>SUM(K59:O59)</f>
        <v>0</v>
      </c>
    </row>
    <row r="60" spans="1:30" ht="12.75" customHeight="1" x14ac:dyDescent="0.2">
      <c r="A60" s="176">
        <v>2</v>
      </c>
      <c r="B60" s="650"/>
      <c r="C60" s="650"/>
      <c r="D60" s="650"/>
      <c r="E60" s="650"/>
      <c r="F60" s="650"/>
      <c r="G60" s="650"/>
      <c r="H60" s="650"/>
      <c r="I60" s="650"/>
      <c r="J60" s="650"/>
      <c r="K60" s="215">
        <v>0</v>
      </c>
      <c r="L60" s="215">
        <v>0</v>
      </c>
      <c r="M60" s="215">
        <v>0</v>
      </c>
      <c r="N60" s="215">
        <v>0</v>
      </c>
      <c r="O60" s="215">
        <v>0</v>
      </c>
      <c r="P60" s="283">
        <f>SUM(K60:O60)</f>
        <v>0</v>
      </c>
    </row>
    <row r="61" spans="1:30" ht="12.75" customHeight="1" x14ac:dyDescent="0.2">
      <c r="A61" s="176">
        <v>3</v>
      </c>
      <c r="B61" s="650"/>
      <c r="C61" s="650"/>
      <c r="D61" s="650"/>
      <c r="E61" s="650"/>
      <c r="F61" s="650"/>
      <c r="G61" s="650"/>
      <c r="H61" s="650"/>
      <c r="I61" s="650"/>
      <c r="J61" s="650"/>
      <c r="K61" s="215">
        <v>0</v>
      </c>
      <c r="L61" s="215">
        <v>0</v>
      </c>
      <c r="M61" s="215">
        <v>0</v>
      </c>
      <c r="N61" s="215">
        <v>0</v>
      </c>
      <c r="O61" s="215">
        <v>0</v>
      </c>
      <c r="P61" s="283">
        <f>SUM(K61:O61)</f>
        <v>0</v>
      </c>
    </row>
    <row r="62" spans="1:30" ht="12.75" customHeight="1" x14ac:dyDescent="0.2">
      <c r="A62" s="176">
        <v>4</v>
      </c>
      <c r="B62" s="650"/>
      <c r="C62" s="651"/>
      <c r="D62" s="651"/>
      <c r="E62" s="651"/>
      <c r="F62" s="651"/>
      <c r="G62" s="651"/>
      <c r="H62" s="651"/>
      <c r="I62" s="651"/>
      <c r="J62" s="651"/>
      <c r="K62" s="215">
        <v>0</v>
      </c>
      <c r="L62" s="215">
        <v>0</v>
      </c>
      <c r="M62" s="215">
        <v>0</v>
      </c>
      <c r="N62" s="215">
        <v>0</v>
      </c>
      <c r="O62" s="215">
        <v>0</v>
      </c>
      <c r="P62" s="283">
        <f>SUM(K62:O62)</f>
        <v>0</v>
      </c>
    </row>
    <row r="63" spans="1:30" ht="12.75" customHeight="1" x14ac:dyDescent="0.25">
      <c r="A63" s="263"/>
      <c r="B63" s="264" t="s">
        <v>55</v>
      </c>
      <c r="C63" s="254"/>
      <c r="D63" s="255"/>
      <c r="E63" s="255"/>
      <c r="F63" s="255"/>
      <c r="G63" s="255"/>
      <c r="H63" s="255"/>
      <c r="I63" s="255"/>
      <c r="J63" s="256"/>
      <c r="K63" s="277">
        <f>SUM(K59:K62)</f>
        <v>0</v>
      </c>
      <c r="L63" s="278">
        <f>SUM(L59:L62)</f>
        <v>0</v>
      </c>
      <c r="M63" s="278">
        <f>SUM(M59:M62)</f>
        <v>0</v>
      </c>
      <c r="N63" s="278">
        <f>SUM(N59:N62)</f>
        <v>0</v>
      </c>
      <c r="O63" s="278">
        <f>SUM(O59:O62)</f>
        <v>0</v>
      </c>
      <c r="P63" s="278">
        <f>SUM(K63:O63)</f>
        <v>0</v>
      </c>
      <c r="R63" s="501"/>
      <c r="S63" s="501"/>
      <c r="T63" s="501"/>
      <c r="U63" s="98"/>
      <c r="V63" s="574" t="s">
        <v>341</v>
      </c>
      <c r="W63" s="98"/>
      <c r="X63" s="98"/>
      <c r="Y63" s="574" t="s">
        <v>346</v>
      </c>
      <c r="Z63" s="98"/>
      <c r="AA63" s="98"/>
      <c r="AB63" s="98"/>
      <c r="AC63" s="98"/>
      <c r="AD63" s="98"/>
    </row>
    <row r="64" spans="1:30" ht="12.75" customHeight="1" x14ac:dyDescent="0.2">
      <c r="R64" s="768" t="s">
        <v>57</v>
      </c>
      <c r="S64" s="769"/>
      <c r="T64" s="99"/>
      <c r="U64" s="100"/>
      <c r="V64" s="631" t="s">
        <v>58</v>
      </c>
      <c r="W64" s="632" t="s">
        <v>59</v>
      </c>
      <c r="X64" s="100"/>
      <c r="Y64" s="630">
        <v>0.72499999999999998</v>
      </c>
      <c r="Z64" s="101"/>
      <c r="AA64" s="101"/>
      <c r="AB64" s="101"/>
      <c r="AC64" s="101"/>
      <c r="AD64" s="100"/>
    </row>
    <row r="65" spans="1:30" ht="12.75" customHeight="1" x14ac:dyDescent="0.25">
      <c r="A65" s="647" t="s">
        <v>212</v>
      </c>
      <c r="B65" s="648"/>
      <c r="C65" s="648"/>
      <c r="D65" s="648"/>
      <c r="E65" s="648"/>
      <c r="F65" s="648"/>
      <c r="G65" s="648"/>
      <c r="H65" s="648"/>
      <c r="I65" s="648"/>
      <c r="J65" s="265" t="s">
        <v>213</v>
      </c>
      <c r="K65" s="266"/>
      <c r="L65" s="266"/>
      <c r="M65" s="266"/>
      <c r="N65" s="266"/>
      <c r="O65" s="266"/>
      <c r="P65" s="267"/>
      <c r="R65" s="102" t="s">
        <v>60</v>
      </c>
      <c r="S65" s="102" t="s">
        <v>61</v>
      </c>
      <c r="T65" s="102" t="s">
        <v>62</v>
      </c>
      <c r="U65" s="102" t="s">
        <v>63</v>
      </c>
      <c r="V65" s="631" t="s">
        <v>64</v>
      </c>
      <c r="W65" s="631" t="s">
        <v>65</v>
      </c>
      <c r="X65" s="631" t="s">
        <v>66</v>
      </c>
      <c r="Y65" s="631" t="s">
        <v>333</v>
      </c>
      <c r="Z65" s="631" t="s">
        <v>67</v>
      </c>
      <c r="AA65" s="103" t="s">
        <v>68</v>
      </c>
      <c r="AB65" s="103" t="s">
        <v>302</v>
      </c>
      <c r="AC65" s="103" t="s">
        <v>303</v>
      </c>
      <c r="AD65" s="104" t="s">
        <v>8</v>
      </c>
    </row>
    <row r="66" spans="1:30" ht="12.75" customHeight="1" x14ac:dyDescent="0.2">
      <c r="A66" s="176">
        <v>1</v>
      </c>
      <c r="B66" s="641"/>
      <c r="C66" s="642"/>
      <c r="D66" s="642"/>
      <c r="E66" s="642"/>
      <c r="F66" s="642"/>
      <c r="G66" s="642"/>
      <c r="H66" s="642"/>
      <c r="I66" s="643"/>
      <c r="J66" s="295" t="s">
        <v>147</v>
      </c>
      <c r="K66" s="215">
        <v>0</v>
      </c>
      <c r="L66" s="215">
        <v>0</v>
      </c>
      <c r="M66" s="215">
        <v>0</v>
      </c>
      <c r="N66" s="215">
        <v>0</v>
      </c>
      <c r="O66" s="215">
        <v>0</v>
      </c>
      <c r="P66" s="283">
        <f t="shared" ref="P66:P82" si="5">SUM(K66:O66)</f>
        <v>0</v>
      </c>
      <c r="R66" s="177">
        <v>1</v>
      </c>
      <c r="S66" s="177">
        <v>1</v>
      </c>
      <c r="T66" s="177">
        <v>1</v>
      </c>
      <c r="U66" s="177">
        <v>0</v>
      </c>
      <c r="V66" s="177">
        <v>0</v>
      </c>
      <c r="W66" s="177">
        <v>0</v>
      </c>
      <c r="X66" s="177">
        <v>0</v>
      </c>
      <c r="Y66" s="177">
        <v>0</v>
      </c>
      <c r="Z66" s="177">
        <v>0</v>
      </c>
      <c r="AA66" s="177">
        <v>0</v>
      </c>
      <c r="AB66" s="177">
        <v>0</v>
      </c>
      <c r="AC66" s="177">
        <v>0</v>
      </c>
      <c r="AD66" s="105">
        <f>(R66*S66*T66*V66)+(R66*S66*U66*W66)+(R66*S66*X66)+(R66*Y66*$Y$64)+(R66*Z66*T66)+(AA66*T66*R66)+(AC66*R66)+(R66*S66*AB66)</f>
        <v>0</v>
      </c>
    </row>
    <row r="67" spans="1:30" ht="13.5" customHeight="1" x14ac:dyDescent="0.2">
      <c r="A67" s="176">
        <v>2</v>
      </c>
      <c r="B67" s="641"/>
      <c r="C67" s="642"/>
      <c r="D67" s="642"/>
      <c r="E67" s="642"/>
      <c r="F67" s="642"/>
      <c r="G67" s="642"/>
      <c r="H67" s="642"/>
      <c r="I67" s="643"/>
      <c r="J67" s="295" t="s">
        <v>147</v>
      </c>
      <c r="K67" s="215">
        <v>0</v>
      </c>
      <c r="L67" s="215">
        <v>0</v>
      </c>
      <c r="M67" s="215">
        <v>0</v>
      </c>
      <c r="N67" s="215">
        <v>0</v>
      </c>
      <c r="O67" s="215">
        <v>0</v>
      </c>
      <c r="P67" s="283">
        <f t="shared" si="5"/>
        <v>0</v>
      </c>
      <c r="R67" s="177">
        <v>1</v>
      </c>
      <c r="S67" s="177">
        <v>1</v>
      </c>
      <c r="T67" s="177">
        <v>1</v>
      </c>
      <c r="U67" s="177">
        <v>0</v>
      </c>
      <c r="V67" s="177">
        <v>0</v>
      </c>
      <c r="W67" s="177">
        <v>0</v>
      </c>
      <c r="X67" s="177">
        <v>0</v>
      </c>
      <c r="Y67" s="177">
        <v>0</v>
      </c>
      <c r="Z67" s="177">
        <v>0</v>
      </c>
      <c r="AA67" s="177">
        <v>0</v>
      </c>
      <c r="AB67" s="177">
        <v>0</v>
      </c>
      <c r="AC67" s="177">
        <v>0</v>
      </c>
      <c r="AD67" s="105">
        <f t="shared" ref="AD67:AD80" si="6">(R67*S67*T67*V67)+(R67*S67*U67*W67)+(R67*S67*X67)+(R67*Y67*$Y$64)+(R67*Z67*T67)+(AA67*T67*R67)+(AC67*R67)+(R67*S67*AB67)</f>
        <v>0</v>
      </c>
    </row>
    <row r="68" spans="1:30" ht="13.5" customHeight="1" x14ac:dyDescent="0.2">
      <c r="A68" s="176">
        <v>3</v>
      </c>
      <c r="B68" s="641"/>
      <c r="C68" s="642"/>
      <c r="D68" s="642"/>
      <c r="E68" s="642"/>
      <c r="F68" s="642"/>
      <c r="G68" s="642"/>
      <c r="H68" s="642"/>
      <c r="I68" s="643"/>
      <c r="J68" s="295" t="s">
        <v>147</v>
      </c>
      <c r="K68" s="215">
        <v>0</v>
      </c>
      <c r="L68" s="215">
        <v>0</v>
      </c>
      <c r="M68" s="215">
        <v>0</v>
      </c>
      <c r="N68" s="215">
        <v>0</v>
      </c>
      <c r="O68" s="215">
        <v>0</v>
      </c>
      <c r="P68" s="283">
        <f t="shared" si="5"/>
        <v>0</v>
      </c>
      <c r="R68" s="177">
        <v>1</v>
      </c>
      <c r="S68" s="177">
        <v>1</v>
      </c>
      <c r="T68" s="177">
        <v>1</v>
      </c>
      <c r="U68" s="177">
        <v>0</v>
      </c>
      <c r="V68" s="177">
        <v>0</v>
      </c>
      <c r="W68" s="177">
        <v>0</v>
      </c>
      <c r="X68" s="177">
        <v>0</v>
      </c>
      <c r="Y68" s="177">
        <v>0</v>
      </c>
      <c r="Z68" s="177">
        <v>0</v>
      </c>
      <c r="AA68" s="177">
        <v>0</v>
      </c>
      <c r="AB68" s="177">
        <v>0</v>
      </c>
      <c r="AC68" s="177">
        <v>0</v>
      </c>
      <c r="AD68" s="105">
        <f t="shared" si="6"/>
        <v>0</v>
      </c>
    </row>
    <row r="69" spans="1:30" ht="13.5" customHeight="1" x14ac:dyDescent="0.2">
      <c r="A69" s="176">
        <v>4</v>
      </c>
      <c r="B69" s="641"/>
      <c r="C69" s="642"/>
      <c r="D69" s="642"/>
      <c r="E69" s="642"/>
      <c r="F69" s="642"/>
      <c r="G69" s="642"/>
      <c r="H69" s="642"/>
      <c r="I69" s="643"/>
      <c r="J69" s="295" t="s">
        <v>147</v>
      </c>
      <c r="K69" s="215">
        <v>0</v>
      </c>
      <c r="L69" s="215">
        <v>0</v>
      </c>
      <c r="M69" s="215">
        <v>0</v>
      </c>
      <c r="N69" s="215">
        <v>0</v>
      </c>
      <c r="O69" s="215">
        <v>0</v>
      </c>
      <c r="P69" s="283">
        <f t="shared" si="5"/>
        <v>0</v>
      </c>
      <c r="R69" s="177">
        <v>1</v>
      </c>
      <c r="S69" s="177">
        <v>1</v>
      </c>
      <c r="T69" s="177">
        <v>1</v>
      </c>
      <c r="U69" s="177">
        <v>0</v>
      </c>
      <c r="V69" s="177">
        <v>0</v>
      </c>
      <c r="W69" s="177">
        <v>0</v>
      </c>
      <c r="X69" s="177">
        <v>0</v>
      </c>
      <c r="Y69" s="177">
        <v>0</v>
      </c>
      <c r="Z69" s="177">
        <v>0</v>
      </c>
      <c r="AA69" s="177">
        <v>0</v>
      </c>
      <c r="AB69" s="177">
        <v>0</v>
      </c>
      <c r="AC69" s="177">
        <v>0</v>
      </c>
      <c r="AD69" s="105">
        <f t="shared" si="6"/>
        <v>0</v>
      </c>
    </row>
    <row r="70" spans="1:30" ht="13.5" customHeight="1" x14ac:dyDescent="0.2">
      <c r="A70" s="176">
        <v>5</v>
      </c>
      <c r="B70" s="641"/>
      <c r="C70" s="642"/>
      <c r="D70" s="642"/>
      <c r="E70" s="642"/>
      <c r="F70" s="642"/>
      <c r="G70" s="642"/>
      <c r="H70" s="642"/>
      <c r="I70" s="643"/>
      <c r="J70" s="295" t="s">
        <v>147</v>
      </c>
      <c r="K70" s="215">
        <v>0</v>
      </c>
      <c r="L70" s="215">
        <v>0</v>
      </c>
      <c r="M70" s="215">
        <v>0</v>
      </c>
      <c r="N70" s="215">
        <v>0</v>
      </c>
      <c r="O70" s="215">
        <v>0</v>
      </c>
      <c r="P70" s="283">
        <f t="shared" si="5"/>
        <v>0</v>
      </c>
      <c r="R70" s="177">
        <v>1</v>
      </c>
      <c r="S70" s="177">
        <v>1</v>
      </c>
      <c r="T70" s="177">
        <v>1</v>
      </c>
      <c r="U70" s="177">
        <v>0</v>
      </c>
      <c r="V70" s="177">
        <v>0</v>
      </c>
      <c r="W70" s="177">
        <v>0</v>
      </c>
      <c r="X70" s="177">
        <v>0</v>
      </c>
      <c r="Y70" s="177">
        <v>0</v>
      </c>
      <c r="Z70" s="177">
        <v>0</v>
      </c>
      <c r="AA70" s="177">
        <v>0</v>
      </c>
      <c r="AB70" s="177">
        <v>0</v>
      </c>
      <c r="AC70" s="177">
        <v>0</v>
      </c>
      <c r="AD70" s="105">
        <f t="shared" si="6"/>
        <v>0</v>
      </c>
    </row>
    <row r="71" spans="1:30" ht="13.5" hidden="1" customHeight="1" x14ac:dyDescent="0.2">
      <c r="A71" s="176">
        <v>6</v>
      </c>
      <c r="B71" s="641"/>
      <c r="C71" s="642"/>
      <c r="D71" s="642"/>
      <c r="E71" s="642"/>
      <c r="F71" s="642"/>
      <c r="G71" s="642"/>
      <c r="H71" s="642"/>
      <c r="I71" s="643"/>
      <c r="J71" s="295" t="s">
        <v>147</v>
      </c>
      <c r="K71" s="215">
        <v>0</v>
      </c>
      <c r="L71" s="215">
        <v>0</v>
      </c>
      <c r="M71" s="215">
        <v>0</v>
      </c>
      <c r="N71" s="215">
        <v>0</v>
      </c>
      <c r="O71" s="215">
        <v>0</v>
      </c>
      <c r="P71" s="283">
        <f t="shared" si="5"/>
        <v>0</v>
      </c>
      <c r="R71" s="177">
        <v>1</v>
      </c>
      <c r="S71" s="177">
        <v>1</v>
      </c>
      <c r="T71" s="177">
        <v>1</v>
      </c>
      <c r="U71" s="177">
        <v>0</v>
      </c>
      <c r="V71" s="177">
        <v>0</v>
      </c>
      <c r="W71" s="177">
        <v>0</v>
      </c>
      <c r="X71" s="177">
        <v>0</v>
      </c>
      <c r="Y71" s="177">
        <v>0</v>
      </c>
      <c r="Z71" s="177">
        <v>0</v>
      </c>
      <c r="AA71" s="177">
        <v>0</v>
      </c>
      <c r="AB71" s="177">
        <v>0</v>
      </c>
      <c r="AC71" s="177">
        <v>0</v>
      </c>
      <c r="AD71" s="105">
        <f t="shared" si="6"/>
        <v>0</v>
      </c>
    </row>
    <row r="72" spans="1:30" ht="13.5" hidden="1" customHeight="1" x14ac:dyDescent="0.2">
      <c r="A72" s="176">
        <v>7</v>
      </c>
      <c r="B72" s="641"/>
      <c r="C72" s="642"/>
      <c r="D72" s="642"/>
      <c r="E72" s="642"/>
      <c r="F72" s="642"/>
      <c r="G72" s="642"/>
      <c r="H72" s="642"/>
      <c r="I72" s="643"/>
      <c r="J72" s="295" t="s">
        <v>147</v>
      </c>
      <c r="K72" s="215">
        <v>0</v>
      </c>
      <c r="L72" s="215">
        <v>0</v>
      </c>
      <c r="M72" s="215">
        <v>0</v>
      </c>
      <c r="N72" s="215">
        <v>0</v>
      </c>
      <c r="O72" s="215">
        <v>0</v>
      </c>
      <c r="P72" s="283">
        <f t="shared" si="5"/>
        <v>0</v>
      </c>
      <c r="R72" s="177">
        <v>1</v>
      </c>
      <c r="S72" s="177">
        <v>1</v>
      </c>
      <c r="T72" s="177">
        <v>1</v>
      </c>
      <c r="U72" s="177">
        <v>0</v>
      </c>
      <c r="V72" s="177">
        <v>0</v>
      </c>
      <c r="W72" s="177">
        <v>0</v>
      </c>
      <c r="X72" s="177">
        <v>0</v>
      </c>
      <c r="Y72" s="177">
        <v>0</v>
      </c>
      <c r="Z72" s="177">
        <v>0</v>
      </c>
      <c r="AA72" s="177">
        <v>0</v>
      </c>
      <c r="AB72" s="177">
        <v>0</v>
      </c>
      <c r="AC72" s="177">
        <v>0</v>
      </c>
      <c r="AD72" s="105">
        <f t="shared" si="6"/>
        <v>0</v>
      </c>
    </row>
    <row r="73" spans="1:30" ht="13.5" hidden="1" customHeight="1" x14ac:dyDescent="0.2">
      <c r="A73" s="176">
        <v>8</v>
      </c>
      <c r="B73" s="641"/>
      <c r="C73" s="642"/>
      <c r="D73" s="642"/>
      <c r="E73" s="642"/>
      <c r="F73" s="642"/>
      <c r="G73" s="642"/>
      <c r="H73" s="642"/>
      <c r="I73" s="643"/>
      <c r="J73" s="295" t="s">
        <v>147</v>
      </c>
      <c r="K73" s="215">
        <v>0</v>
      </c>
      <c r="L73" s="215">
        <v>0</v>
      </c>
      <c r="M73" s="215">
        <v>0</v>
      </c>
      <c r="N73" s="215">
        <v>0</v>
      </c>
      <c r="O73" s="215">
        <v>0</v>
      </c>
      <c r="P73" s="283">
        <f t="shared" si="5"/>
        <v>0</v>
      </c>
      <c r="R73" s="177">
        <v>1</v>
      </c>
      <c r="S73" s="177">
        <v>1</v>
      </c>
      <c r="T73" s="177">
        <v>1</v>
      </c>
      <c r="U73" s="177">
        <v>0</v>
      </c>
      <c r="V73" s="177">
        <v>0</v>
      </c>
      <c r="W73" s="177">
        <v>0</v>
      </c>
      <c r="X73" s="177">
        <v>0</v>
      </c>
      <c r="Y73" s="177">
        <v>0</v>
      </c>
      <c r="Z73" s="177">
        <v>0</v>
      </c>
      <c r="AA73" s="177">
        <v>0</v>
      </c>
      <c r="AB73" s="177">
        <v>0</v>
      </c>
      <c r="AC73" s="177">
        <v>0</v>
      </c>
      <c r="AD73" s="105">
        <f t="shared" si="6"/>
        <v>0</v>
      </c>
    </row>
    <row r="74" spans="1:30" ht="13.5" hidden="1" customHeight="1" x14ac:dyDescent="0.2">
      <c r="A74" s="176">
        <v>9</v>
      </c>
      <c r="B74" s="641"/>
      <c r="C74" s="642"/>
      <c r="D74" s="642"/>
      <c r="E74" s="642"/>
      <c r="F74" s="642"/>
      <c r="G74" s="642"/>
      <c r="H74" s="642"/>
      <c r="I74" s="643"/>
      <c r="J74" s="295" t="s">
        <v>147</v>
      </c>
      <c r="K74" s="215">
        <v>0</v>
      </c>
      <c r="L74" s="215">
        <v>0</v>
      </c>
      <c r="M74" s="215">
        <v>0</v>
      </c>
      <c r="N74" s="215">
        <v>0</v>
      </c>
      <c r="O74" s="215">
        <v>0</v>
      </c>
      <c r="P74" s="283">
        <f t="shared" si="5"/>
        <v>0</v>
      </c>
      <c r="R74" s="177">
        <v>1</v>
      </c>
      <c r="S74" s="177">
        <v>1</v>
      </c>
      <c r="T74" s="177">
        <v>1</v>
      </c>
      <c r="U74" s="177">
        <v>0</v>
      </c>
      <c r="V74" s="177">
        <v>0</v>
      </c>
      <c r="W74" s="177">
        <v>0</v>
      </c>
      <c r="X74" s="177">
        <v>0</v>
      </c>
      <c r="Y74" s="177">
        <v>0</v>
      </c>
      <c r="Z74" s="177">
        <v>0</v>
      </c>
      <c r="AA74" s="177">
        <v>0</v>
      </c>
      <c r="AB74" s="177">
        <v>0</v>
      </c>
      <c r="AC74" s="177">
        <v>0</v>
      </c>
      <c r="AD74" s="105">
        <f t="shared" si="6"/>
        <v>0</v>
      </c>
    </row>
    <row r="75" spans="1:30" ht="13.5" hidden="1" customHeight="1" x14ac:dyDescent="0.2">
      <c r="A75" s="176">
        <v>10</v>
      </c>
      <c r="B75" s="641"/>
      <c r="C75" s="642"/>
      <c r="D75" s="642"/>
      <c r="E75" s="642"/>
      <c r="F75" s="642"/>
      <c r="G75" s="642"/>
      <c r="H75" s="642"/>
      <c r="I75" s="643"/>
      <c r="J75" s="295" t="s">
        <v>147</v>
      </c>
      <c r="K75" s="215">
        <v>0</v>
      </c>
      <c r="L75" s="215">
        <v>0</v>
      </c>
      <c r="M75" s="215">
        <v>0</v>
      </c>
      <c r="N75" s="215">
        <v>0</v>
      </c>
      <c r="O75" s="215">
        <v>0</v>
      </c>
      <c r="P75" s="283">
        <f t="shared" si="5"/>
        <v>0</v>
      </c>
      <c r="R75" s="177">
        <v>1</v>
      </c>
      <c r="S75" s="177">
        <v>1</v>
      </c>
      <c r="T75" s="177">
        <v>1</v>
      </c>
      <c r="U75" s="177">
        <v>0</v>
      </c>
      <c r="V75" s="177">
        <v>0</v>
      </c>
      <c r="W75" s="177">
        <v>0</v>
      </c>
      <c r="X75" s="177">
        <v>0</v>
      </c>
      <c r="Y75" s="177">
        <v>0</v>
      </c>
      <c r="Z75" s="177">
        <v>0</v>
      </c>
      <c r="AA75" s="177">
        <v>0</v>
      </c>
      <c r="AB75" s="177">
        <v>0</v>
      </c>
      <c r="AC75" s="177">
        <v>0</v>
      </c>
      <c r="AD75" s="105">
        <f t="shared" si="6"/>
        <v>0</v>
      </c>
    </row>
    <row r="76" spans="1:30" ht="13.5" hidden="1" customHeight="1" x14ac:dyDescent="0.2">
      <c r="A76" s="176">
        <v>11</v>
      </c>
      <c r="B76" s="641"/>
      <c r="C76" s="642"/>
      <c r="D76" s="642"/>
      <c r="E76" s="642"/>
      <c r="F76" s="642"/>
      <c r="G76" s="642"/>
      <c r="H76" s="642"/>
      <c r="I76" s="643"/>
      <c r="J76" s="295" t="s">
        <v>147</v>
      </c>
      <c r="K76" s="215">
        <v>0</v>
      </c>
      <c r="L76" s="215">
        <v>0</v>
      </c>
      <c r="M76" s="215">
        <v>0</v>
      </c>
      <c r="N76" s="215">
        <v>0</v>
      </c>
      <c r="O76" s="215">
        <v>0</v>
      </c>
      <c r="P76" s="283">
        <f t="shared" si="5"/>
        <v>0</v>
      </c>
      <c r="R76" s="177">
        <v>1</v>
      </c>
      <c r="S76" s="177">
        <v>1</v>
      </c>
      <c r="T76" s="177">
        <v>1</v>
      </c>
      <c r="U76" s="177">
        <v>0</v>
      </c>
      <c r="V76" s="177">
        <v>0</v>
      </c>
      <c r="W76" s="177">
        <v>0</v>
      </c>
      <c r="X76" s="177">
        <v>0</v>
      </c>
      <c r="Y76" s="177">
        <v>0</v>
      </c>
      <c r="Z76" s="177">
        <v>0</v>
      </c>
      <c r="AA76" s="177">
        <v>0</v>
      </c>
      <c r="AB76" s="177">
        <v>0</v>
      </c>
      <c r="AC76" s="177">
        <v>0</v>
      </c>
      <c r="AD76" s="105">
        <f t="shared" si="6"/>
        <v>0</v>
      </c>
    </row>
    <row r="77" spans="1:30" ht="13.5" hidden="1" customHeight="1" x14ac:dyDescent="0.2">
      <c r="A77" s="176">
        <v>12</v>
      </c>
      <c r="B77" s="641"/>
      <c r="C77" s="642"/>
      <c r="D77" s="642"/>
      <c r="E77" s="642"/>
      <c r="F77" s="642"/>
      <c r="G77" s="642"/>
      <c r="H77" s="642"/>
      <c r="I77" s="643"/>
      <c r="J77" s="295" t="s">
        <v>147</v>
      </c>
      <c r="K77" s="215">
        <v>0</v>
      </c>
      <c r="L77" s="215">
        <v>0</v>
      </c>
      <c r="M77" s="215">
        <v>0</v>
      </c>
      <c r="N77" s="215">
        <v>0</v>
      </c>
      <c r="O77" s="215">
        <v>0</v>
      </c>
      <c r="P77" s="283">
        <f t="shared" si="5"/>
        <v>0</v>
      </c>
      <c r="R77" s="177">
        <v>1</v>
      </c>
      <c r="S77" s="177">
        <v>1</v>
      </c>
      <c r="T77" s="177">
        <v>1</v>
      </c>
      <c r="U77" s="177">
        <v>0</v>
      </c>
      <c r="V77" s="177">
        <v>0</v>
      </c>
      <c r="W77" s="177">
        <v>0</v>
      </c>
      <c r="X77" s="177">
        <v>0</v>
      </c>
      <c r="Y77" s="177">
        <v>0</v>
      </c>
      <c r="Z77" s="177">
        <v>0</v>
      </c>
      <c r="AA77" s="177">
        <v>0</v>
      </c>
      <c r="AB77" s="177">
        <v>0</v>
      </c>
      <c r="AC77" s="177">
        <v>0</v>
      </c>
      <c r="AD77" s="105">
        <f t="shared" si="6"/>
        <v>0</v>
      </c>
    </row>
    <row r="78" spans="1:30" ht="13.5" hidden="1" customHeight="1" x14ac:dyDescent="0.2">
      <c r="A78" s="176">
        <v>13</v>
      </c>
      <c r="B78" s="641"/>
      <c r="C78" s="642"/>
      <c r="D78" s="642"/>
      <c r="E78" s="642"/>
      <c r="F78" s="642"/>
      <c r="G78" s="642"/>
      <c r="H78" s="642"/>
      <c r="I78" s="643"/>
      <c r="J78" s="295" t="s">
        <v>147</v>
      </c>
      <c r="K78" s="215">
        <v>0</v>
      </c>
      <c r="L78" s="215">
        <v>0</v>
      </c>
      <c r="M78" s="215">
        <v>0</v>
      </c>
      <c r="N78" s="215">
        <v>0</v>
      </c>
      <c r="O78" s="215">
        <v>0</v>
      </c>
      <c r="P78" s="283">
        <f t="shared" si="5"/>
        <v>0</v>
      </c>
      <c r="R78" s="177">
        <v>1</v>
      </c>
      <c r="S78" s="177">
        <v>1</v>
      </c>
      <c r="T78" s="177">
        <v>1</v>
      </c>
      <c r="U78" s="177">
        <v>0</v>
      </c>
      <c r="V78" s="177">
        <v>0</v>
      </c>
      <c r="W78" s="177">
        <v>0</v>
      </c>
      <c r="X78" s="177">
        <v>0</v>
      </c>
      <c r="Y78" s="177">
        <v>0</v>
      </c>
      <c r="Z78" s="177">
        <v>0</v>
      </c>
      <c r="AA78" s="177">
        <v>0</v>
      </c>
      <c r="AB78" s="177">
        <v>0</v>
      </c>
      <c r="AC78" s="177">
        <v>0</v>
      </c>
      <c r="AD78" s="105">
        <f t="shared" si="6"/>
        <v>0</v>
      </c>
    </row>
    <row r="79" spans="1:30" ht="13.5" hidden="1" customHeight="1" x14ac:dyDescent="0.2">
      <c r="A79" s="176">
        <v>14</v>
      </c>
      <c r="B79" s="641"/>
      <c r="C79" s="642"/>
      <c r="D79" s="642"/>
      <c r="E79" s="642"/>
      <c r="F79" s="642"/>
      <c r="G79" s="642"/>
      <c r="H79" s="642"/>
      <c r="I79" s="643"/>
      <c r="J79" s="295" t="s">
        <v>147</v>
      </c>
      <c r="K79" s="215">
        <v>0</v>
      </c>
      <c r="L79" s="215">
        <v>0</v>
      </c>
      <c r="M79" s="215">
        <v>0</v>
      </c>
      <c r="N79" s="215">
        <v>0</v>
      </c>
      <c r="O79" s="215">
        <v>0</v>
      </c>
      <c r="P79" s="283">
        <f t="shared" si="5"/>
        <v>0</v>
      </c>
      <c r="R79" s="177">
        <v>1</v>
      </c>
      <c r="S79" s="177">
        <v>1</v>
      </c>
      <c r="T79" s="177">
        <v>1</v>
      </c>
      <c r="U79" s="177">
        <v>0</v>
      </c>
      <c r="V79" s="177">
        <v>0</v>
      </c>
      <c r="W79" s="177">
        <v>0</v>
      </c>
      <c r="X79" s="177">
        <v>0</v>
      </c>
      <c r="Y79" s="177">
        <v>0</v>
      </c>
      <c r="Z79" s="177">
        <v>0</v>
      </c>
      <c r="AA79" s="177">
        <v>0</v>
      </c>
      <c r="AB79" s="177">
        <v>0</v>
      </c>
      <c r="AC79" s="177">
        <v>0</v>
      </c>
      <c r="AD79" s="105">
        <f t="shared" si="6"/>
        <v>0</v>
      </c>
    </row>
    <row r="80" spans="1:30" ht="13.5" hidden="1" customHeight="1" x14ac:dyDescent="0.2">
      <c r="A80" s="176">
        <v>15</v>
      </c>
      <c r="B80" s="641"/>
      <c r="C80" s="642"/>
      <c r="D80" s="642"/>
      <c r="E80" s="642"/>
      <c r="F80" s="642"/>
      <c r="G80" s="642"/>
      <c r="H80" s="642"/>
      <c r="I80" s="643"/>
      <c r="J80" s="295" t="s">
        <v>147</v>
      </c>
      <c r="K80" s="215">
        <v>0</v>
      </c>
      <c r="L80" s="215">
        <v>0</v>
      </c>
      <c r="M80" s="215">
        <v>0</v>
      </c>
      <c r="N80" s="215">
        <v>0</v>
      </c>
      <c r="O80" s="215">
        <v>0</v>
      </c>
      <c r="P80" s="283">
        <f t="shared" si="5"/>
        <v>0</v>
      </c>
      <c r="R80" s="177">
        <v>1</v>
      </c>
      <c r="S80" s="177">
        <v>1</v>
      </c>
      <c r="T80" s="177">
        <v>1</v>
      </c>
      <c r="U80" s="177">
        <v>0</v>
      </c>
      <c r="V80" s="177">
        <v>0</v>
      </c>
      <c r="W80" s="177">
        <v>0</v>
      </c>
      <c r="X80" s="177">
        <v>0</v>
      </c>
      <c r="Y80" s="177">
        <v>0</v>
      </c>
      <c r="Z80" s="177">
        <v>0</v>
      </c>
      <c r="AA80" s="177">
        <v>0</v>
      </c>
      <c r="AB80" s="177">
        <v>0</v>
      </c>
      <c r="AC80" s="177">
        <v>0</v>
      </c>
      <c r="AD80" s="105">
        <f t="shared" si="6"/>
        <v>0</v>
      </c>
    </row>
    <row r="81" spans="1:30" ht="13.5" customHeight="1" x14ac:dyDescent="0.25">
      <c r="A81" s="772" t="s">
        <v>70</v>
      </c>
      <c r="B81" s="727"/>
      <c r="C81" s="237"/>
      <c r="D81" s="238"/>
      <c r="E81" s="238"/>
      <c r="F81" s="238"/>
      <c r="G81" s="238"/>
      <c r="H81" s="238"/>
      <c r="I81" s="238"/>
      <c r="J81" s="239"/>
      <c r="K81" s="253">
        <f>SUMIF($J$66:$J$80,"No",K66:K80)</f>
        <v>0</v>
      </c>
      <c r="L81" s="253">
        <f>SUMIF($J$66:$J$80,"No",L66:L80)</f>
        <v>0</v>
      </c>
      <c r="M81" s="253">
        <f>SUMIF($J$66:$J$80,"No",M66:M80)</f>
        <v>0</v>
      </c>
      <c r="N81" s="253">
        <f>SUMIF($J$66:$J$80,"No",N66:N80)</f>
        <v>0</v>
      </c>
      <c r="O81" s="253">
        <f>SUMIF($J$66:$J$80,"No",O66:O80)</f>
        <v>0</v>
      </c>
      <c r="P81" s="469">
        <f t="shared" si="5"/>
        <v>0</v>
      </c>
      <c r="R81" s="502"/>
      <c r="S81" s="502"/>
      <c r="T81" s="502"/>
      <c r="U81" s="502"/>
      <c r="V81" s="502"/>
      <c r="W81" s="502"/>
      <c r="X81" s="502"/>
      <c r="Y81" s="502"/>
      <c r="Z81" s="502"/>
      <c r="AA81" s="502"/>
      <c r="AB81" s="502"/>
      <c r="AC81" s="502"/>
      <c r="AD81" s="503"/>
    </row>
    <row r="82" spans="1:30" ht="13.5" customHeight="1" x14ac:dyDescent="0.25">
      <c r="A82" s="727" t="s">
        <v>71</v>
      </c>
      <c r="B82" s="728"/>
      <c r="C82" s="237"/>
      <c r="D82" s="238"/>
      <c r="E82" s="238"/>
      <c r="F82" s="238"/>
      <c r="G82" s="238"/>
      <c r="H82" s="238"/>
      <c r="I82" s="238"/>
      <c r="J82" s="239"/>
      <c r="K82" s="253">
        <f>SUMIF($J$66:$J$80,"Yes",K66:K80)</f>
        <v>0</v>
      </c>
      <c r="L82" s="253">
        <f>SUMIF($J$66:$J$80,"Yes",L66:L80)</f>
        <v>0</v>
      </c>
      <c r="M82" s="253">
        <f>SUMIF($J$66:$J$80,"Yes",M66:M80)</f>
        <v>0</v>
      </c>
      <c r="N82" s="253">
        <f>SUMIF($J$66:$J$80,"Yes",N66:N80)</f>
        <v>0</v>
      </c>
      <c r="O82" s="253">
        <f>SUMIF($J$66:$J$80,"Yes",O66:O80)</f>
        <v>0</v>
      </c>
      <c r="P82" s="469">
        <f t="shared" si="5"/>
        <v>0</v>
      </c>
    </row>
    <row r="83" spans="1:30" ht="13.5" customHeight="1" x14ac:dyDescent="0.25">
      <c r="A83" s="654" t="s">
        <v>72</v>
      </c>
      <c r="B83" s="655"/>
      <c r="C83" s="254"/>
      <c r="D83" s="255"/>
      <c r="E83" s="255"/>
      <c r="F83" s="255"/>
      <c r="G83" s="255"/>
      <c r="H83" s="255"/>
      <c r="I83" s="255"/>
      <c r="J83" s="256"/>
      <c r="K83" s="277">
        <f t="shared" ref="K83:P83" si="7">K82+K81</f>
        <v>0</v>
      </c>
      <c r="L83" s="278">
        <f t="shared" si="7"/>
        <v>0</v>
      </c>
      <c r="M83" s="278">
        <f t="shared" si="7"/>
        <v>0</v>
      </c>
      <c r="N83" s="278">
        <f t="shared" si="7"/>
        <v>0</v>
      </c>
      <c r="O83" s="278">
        <f t="shared" si="7"/>
        <v>0</v>
      </c>
      <c r="P83" s="278">
        <f t="shared" si="7"/>
        <v>0</v>
      </c>
    </row>
    <row r="84" spans="1:30" ht="12.75" customHeight="1" x14ac:dyDescent="0.2"/>
    <row r="85" spans="1:30" ht="12.75" customHeight="1" x14ac:dyDescent="0.25">
      <c r="A85" s="647" t="s">
        <v>308</v>
      </c>
      <c r="B85" s="648"/>
      <c r="C85" s="648"/>
      <c r="D85" s="648"/>
      <c r="E85" s="648"/>
      <c r="F85" s="648"/>
      <c r="G85" s="648"/>
      <c r="H85" s="648"/>
      <c r="I85" s="648"/>
      <c r="J85" s="648"/>
      <c r="K85" s="648"/>
      <c r="L85" s="648"/>
      <c r="M85" s="648"/>
      <c r="N85" s="648"/>
      <c r="O85" s="648"/>
      <c r="P85" s="649"/>
      <c r="R85" s="661" t="s">
        <v>348</v>
      </c>
      <c r="S85" s="662"/>
      <c r="T85" s="662"/>
      <c r="U85" s="662"/>
      <c r="V85" s="662"/>
      <c r="W85" s="663"/>
    </row>
    <row r="86" spans="1:30" ht="12.75" customHeight="1" x14ac:dyDescent="0.2">
      <c r="A86" s="176">
        <v>1</v>
      </c>
      <c r="B86" s="650" t="s">
        <v>73</v>
      </c>
      <c r="C86" s="650"/>
      <c r="D86" s="650"/>
      <c r="E86" s="650"/>
      <c r="F86" s="650"/>
      <c r="G86" s="650"/>
      <c r="H86" s="650"/>
      <c r="I86" s="650"/>
      <c r="J86" s="650"/>
      <c r="K86" s="215">
        <v>0</v>
      </c>
      <c r="L86" s="215">
        <v>0</v>
      </c>
      <c r="M86" s="215">
        <v>0</v>
      </c>
      <c r="N86" s="215">
        <v>0</v>
      </c>
      <c r="O86" s="215">
        <v>0</v>
      </c>
      <c r="P86" s="283">
        <f>SUM(K86:O86)</f>
        <v>0</v>
      </c>
      <c r="R86" s="664"/>
      <c r="S86" s="665"/>
      <c r="T86" s="665"/>
      <c r="U86" s="665"/>
      <c r="V86" s="665"/>
      <c r="W86" s="666"/>
    </row>
    <row r="87" spans="1:30" ht="12.75" customHeight="1" x14ac:dyDescent="0.2">
      <c r="A87" s="176">
        <v>2</v>
      </c>
      <c r="B87" s="650" t="s">
        <v>74</v>
      </c>
      <c r="C87" s="650"/>
      <c r="D87" s="650"/>
      <c r="E87" s="650"/>
      <c r="F87" s="650"/>
      <c r="G87" s="650"/>
      <c r="H87" s="650"/>
      <c r="I87" s="650"/>
      <c r="J87" s="650"/>
      <c r="K87" s="215">
        <v>0</v>
      </c>
      <c r="L87" s="215">
        <v>0</v>
      </c>
      <c r="M87" s="215">
        <v>0</v>
      </c>
      <c r="N87" s="215">
        <v>0</v>
      </c>
      <c r="O87" s="215">
        <v>0</v>
      </c>
      <c r="P87" s="283">
        <f>SUM(K87:O87)</f>
        <v>0</v>
      </c>
      <c r="R87" s="667"/>
      <c r="S87" s="668"/>
      <c r="T87" s="668"/>
      <c r="U87" s="668"/>
      <c r="V87" s="668"/>
      <c r="W87" s="669"/>
    </row>
    <row r="88" spans="1:30" ht="12.75" customHeight="1" x14ac:dyDescent="0.2">
      <c r="A88" s="176">
        <v>3</v>
      </c>
      <c r="B88" s="650" t="s">
        <v>75</v>
      </c>
      <c r="C88" s="650"/>
      <c r="D88" s="650"/>
      <c r="E88" s="650"/>
      <c r="F88" s="650"/>
      <c r="G88" s="650"/>
      <c r="H88" s="650"/>
      <c r="I88" s="650"/>
      <c r="J88" s="650"/>
      <c r="K88" s="215">
        <v>0</v>
      </c>
      <c r="L88" s="215">
        <v>0</v>
      </c>
      <c r="M88" s="215">
        <v>0</v>
      </c>
      <c r="N88" s="215">
        <v>0</v>
      </c>
      <c r="O88" s="215">
        <v>0</v>
      </c>
      <c r="P88" s="283">
        <f>SUM(K88:O88)</f>
        <v>0</v>
      </c>
    </row>
    <row r="89" spans="1:30" ht="12.75" customHeight="1" x14ac:dyDescent="0.2">
      <c r="A89" s="176">
        <v>4</v>
      </c>
      <c r="B89" s="650" t="s">
        <v>76</v>
      </c>
      <c r="C89" s="651"/>
      <c r="D89" s="651"/>
      <c r="E89" s="651"/>
      <c r="F89" s="651"/>
      <c r="G89" s="651"/>
      <c r="H89" s="651"/>
      <c r="I89" s="651"/>
      <c r="J89" s="651"/>
      <c r="K89" s="215">
        <v>0</v>
      </c>
      <c r="L89" s="215">
        <v>0</v>
      </c>
      <c r="M89" s="215">
        <v>0</v>
      </c>
      <c r="N89" s="215">
        <v>0</v>
      </c>
      <c r="O89" s="215">
        <v>0</v>
      </c>
      <c r="P89" s="283">
        <f>SUM(K89:O89)</f>
        <v>0</v>
      </c>
    </row>
    <row r="90" spans="1:30" ht="12.75" customHeight="1" x14ac:dyDescent="0.25">
      <c r="A90" s="654" t="s">
        <v>77</v>
      </c>
      <c r="B90" s="655"/>
      <c r="C90" s="254"/>
      <c r="D90" s="255"/>
      <c r="E90" s="255"/>
      <c r="F90" s="255"/>
      <c r="G90" s="255"/>
      <c r="H90" s="255"/>
      <c r="I90" s="255"/>
      <c r="J90" s="256"/>
      <c r="K90" s="277">
        <f>SUM(K86:K89)</f>
        <v>0</v>
      </c>
      <c r="L90" s="278">
        <f>SUM(L86:L89)</f>
        <v>0</v>
      </c>
      <c r="M90" s="278">
        <f>SUM(M86:M89)</f>
        <v>0</v>
      </c>
      <c r="N90" s="278">
        <f>SUM(N86:N89)</f>
        <v>0</v>
      </c>
      <c r="O90" s="278">
        <f>SUM(O86:O89)</f>
        <v>0</v>
      </c>
      <c r="P90" s="278">
        <f>SUM(K90:O90)</f>
        <v>0</v>
      </c>
    </row>
    <row r="91" spans="1:30" ht="12.75" customHeight="1" x14ac:dyDescent="0.2"/>
    <row r="92" spans="1:30" ht="12.75" customHeight="1" x14ac:dyDescent="0.25">
      <c r="A92" s="268" t="s">
        <v>78</v>
      </c>
      <c r="B92" s="265"/>
      <c r="C92" s="265"/>
      <c r="D92" s="265"/>
      <c r="E92" s="265"/>
      <c r="F92" s="265"/>
      <c r="G92" s="265"/>
      <c r="H92" s="265"/>
      <c r="I92" s="265"/>
      <c r="J92" s="265"/>
      <c r="K92" s="265"/>
      <c r="L92" s="265"/>
      <c r="M92" s="265"/>
      <c r="N92" s="265"/>
      <c r="O92" s="265"/>
      <c r="P92" s="269"/>
    </row>
    <row r="93" spans="1:30" ht="12.75" customHeight="1" x14ac:dyDescent="0.2">
      <c r="A93" s="176">
        <v>1</v>
      </c>
      <c r="B93" s="641"/>
      <c r="C93" s="642"/>
      <c r="D93" s="642"/>
      <c r="E93" s="642"/>
      <c r="F93" s="642"/>
      <c r="G93" s="642"/>
      <c r="H93" s="642"/>
      <c r="I93" s="642"/>
      <c r="J93" s="643"/>
      <c r="K93" s="215">
        <v>0</v>
      </c>
      <c r="L93" s="215">
        <v>0</v>
      </c>
      <c r="M93" s="215">
        <v>0</v>
      </c>
      <c r="N93" s="215">
        <v>0</v>
      </c>
      <c r="O93" s="215">
        <v>0</v>
      </c>
      <c r="P93" s="283">
        <f t="shared" ref="P93:P108" si="8">SUM(K93:O93)</f>
        <v>0</v>
      </c>
      <c r="R93" s="270"/>
    </row>
    <row r="94" spans="1:30" ht="12.75" customHeight="1" x14ac:dyDescent="0.2">
      <c r="A94" s="176">
        <v>2</v>
      </c>
      <c r="B94" s="641"/>
      <c r="C94" s="642"/>
      <c r="D94" s="642"/>
      <c r="E94" s="642"/>
      <c r="F94" s="642"/>
      <c r="G94" s="642"/>
      <c r="H94" s="642"/>
      <c r="I94" s="642"/>
      <c r="J94" s="643"/>
      <c r="K94" s="215">
        <v>0</v>
      </c>
      <c r="L94" s="215">
        <v>0</v>
      </c>
      <c r="M94" s="215">
        <v>0</v>
      </c>
      <c r="N94" s="215">
        <v>0</v>
      </c>
      <c r="O94" s="215">
        <v>0</v>
      </c>
      <c r="P94" s="283">
        <f t="shared" si="8"/>
        <v>0</v>
      </c>
    </row>
    <row r="95" spans="1:30" ht="12.75" customHeight="1" x14ac:dyDescent="0.2">
      <c r="A95" s="176">
        <v>3</v>
      </c>
      <c r="B95" s="641"/>
      <c r="C95" s="642"/>
      <c r="D95" s="642"/>
      <c r="E95" s="642"/>
      <c r="F95" s="642"/>
      <c r="G95" s="642"/>
      <c r="H95" s="642"/>
      <c r="I95" s="642"/>
      <c r="J95" s="643"/>
      <c r="K95" s="215">
        <v>0</v>
      </c>
      <c r="L95" s="215">
        <v>0</v>
      </c>
      <c r="M95" s="215">
        <v>0</v>
      </c>
      <c r="N95" s="215">
        <v>0</v>
      </c>
      <c r="O95" s="215">
        <v>0</v>
      </c>
      <c r="P95" s="283">
        <f t="shared" si="8"/>
        <v>0</v>
      </c>
    </row>
    <row r="96" spans="1:30" ht="12.75" customHeight="1" x14ac:dyDescent="0.2">
      <c r="A96" s="176">
        <v>4</v>
      </c>
      <c r="B96" s="641"/>
      <c r="C96" s="642"/>
      <c r="D96" s="642"/>
      <c r="E96" s="642"/>
      <c r="F96" s="642"/>
      <c r="G96" s="642"/>
      <c r="H96" s="642"/>
      <c r="I96" s="642"/>
      <c r="J96" s="643"/>
      <c r="K96" s="215">
        <v>0</v>
      </c>
      <c r="L96" s="215">
        <v>0</v>
      </c>
      <c r="M96" s="215">
        <v>0</v>
      </c>
      <c r="N96" s="215">
        <v>0</v>
      </c>
      <c r="O96" s="215">
        <v>0</v>
      </c>
      <c r="P96" s="283">
        <f t="shared" si="8"/>
        <v>0</v>
      </c>
    </row>
    <row r="97" spans="1:23" ht="12.75" customHeight="1" x14ac:dyDescent="0.2">
      <c r="A97" s="176">
        <v>5</v>
      </c>
      <c r="B97" s="641"/>
      <c r="C97" s="642"/>
      <c r="D97" s="642"/>
      <c r="E97" s="642"/>
      <c r="F97" s="642"/>
      <c r="G97" s="642"/>
      <c r="H97" s="642"/>
      <c r="I97" s="642"/>
      <c r="J97" s="643"/>
      <c r="K97" s="215">
        <v>0</v>
      </c>
      <c r="L97" s="215">
        <v>0</v>
      </c>
      <c r="M97" s="215">
        <v>0</v>
      </c>
      <c r="N97" s="215">
        <v>0</v>
      </c>
      <c r="O97" s="215">
        <v>0</v>
      </c>
      <c r="P97" s="283">
        <f t="shared" si="8"/>
        <v>0</v>
      </c>
      <c r="R97" s="271"/>
    </row>
    <row r="98" spans="1:23" ht="12.75" hidden="1" customHeight="1" x14ac:dyDescent="0.2">
      <c r="A98" s="176">
        <v>6</v>
      </c>
      <c r="B98" s="290"/>
      <c r="C98" s="292"/>
      <c r="D98" s="292"/>
      <c r="E98" s="292"/>
      <c r="F98" s="292"/>
      <c r="G98" s="292"/>
      <c r="H98" s="292"/>
      <c r="I98" s="292"/>
      <c r="J98" s="291"/>
      <c r="K98" s="215">
        <v>0</v>
      </c>
      <c r="L98" s="215">
        <v>0</v>
      </c>
      <c r="M98" s="215">
        <v>0</v>
      </c>
      <c r="N98" s="215">
        <v>0</v>
      </c>
      <c r="O98" s="215">
        <v>0</v>
      </c>
      <c r="P98" s="283">
        <f t="shared" si="8"/>
        <v>0</v>
      </c>
      <c r="R98" s="272"/>
    </row>
    <row r="99" spans="1:23" ht="12.75" hidden="1" customHeight="1" x14ac:dyDescent="0.2">
      <c r="A99" s="176">
        <v>7</v>
      </c>
      <c r="B99" s="290"/>
      <c r="C99" s="292"/>
      <c r="D99" s="292"/>
      <c r="E99" s="292"/>
      <c r="F99" s="292"/>
      <c r="G99" s="292"/>
      <c r="H99" s="292"/>
      <c r="I99" s="292"/>
      <c r="J99" s="291"/>
      <c r="K99" s="215">
        <v>0</v>
      </c>
      <c r="L99" s="215">
        <v>0</v>
      </c>
      <c r="M99" s="215">
        <v>0</v>
      </c>
      <c r="N99" s="215">
        <v>0</v>
      </c>
      <c r="O99" s="215">
        <v>0</v>
      </c>
      <c r="P99" s="283">
        <f t="shared" si="8"/>
        <v>0</v>
      </c>
    </row>
    <row r="100" spans="1:23" ht="12.75" hidden="1" customHeight="1" x14ac:dyDescent="0.2">
      <c r="A100" s="176">
        <v>8</v>
      </c>
      <c r="B100" s="290"/>
      <c r="C100" s="292"/>
      <c r="D100" s="292"/>
      <c r="E100" s="292"/>
      <c r="F100" s="292"/>
      <c r="G100" s="292"/>
      <c r="H100" s="292"/>
      <c r="I100" s="292"/>
      <c r="J100" s="291"/>
      <c r="K100" s="215">
        <v>0</v>
      </c>
      <c r="L100" s="215">
        <v>0</v>
      </c>
      <c r="M100" s="215">
        <v>0</v>
      </c>
      <c r="N100" s="215">
        <v>0</v>
      </c>
      <c r="O100" s="215">
        <v>0</v>
      </c>
      <c r="P100" s="283">
        <f t="shared" si="8"/>
        <v>0</v>
      </c>
    </row>
    <row r="101" spans="1:23" ht="12.75" hidden="1" customHeight="1" x14ac:dyDescent="0.2">
      <c r="A101" s="176">
        <v>9</v>
      </c>
      <c r="B101" s="290"/>
      <c r="C101" s="292"/>
      <c r="D101" s="292"/>
      <c r="E101" s="292"/>
      <c r="F101" s="292"/>
      <c r="G101" s="292"/>
      <c r="H101" s="292"/>
      <c r="I101" s="292"/>
      <c r="J101" s="291"/>
      <c r="K101" s="215">
        <v>0</v>
      </c>
      <c r="L101" s="215">
        <v>0</v>
      </c>
      <c r="M101" s="215">
        <v>0</v>
      </c>
      <c r="N101" s="215">
        <v>0</v>
      </c>
      <c r="O101" s="215">
        <v>0</v>
      </c>
      <c r="P101" s="283">
        <f t="shared" si="8"/>
        <v>0</v>
      </c>
    </row>
    <row r="102" spans="1:23" ht="12.75" hidden="1" customHeight="1" x14ac:dyDescent="0.2">
      <c r="A102" s="176">
        <v>10</v>
      </c>
      <c r="B102" s="290"/>
      <c r="C102" s="292"/>
      <c r="D102" s="292"/>
      <c r="E102" s="292"/>
      <c r="F102" s="292"/>
      <c r="G102" s="292"/>
      <c r="H102" s="292"/>
      <c r="I102" s="292"/>
      <c r="J102" s="291"/>
      <c r="K102" s="215">
        <v>0</v>
      </c>
      <c r="L102" s="215">
        <v>0</v>
      </c>
      <c r="M102" s="215">
        <v>0</v>
      </c>
      <c r="N102" s="215">
        <v>0</v>
      </c>
      <c r="O102" s="215">
        <v>0</v>
      </c>
      <c r="P102" s="283">
        <f t="shared" si="8"/>
        <v>0</v>
      </c>
    </row>
    <row r="103" spans="1:23" ht="12.75" hidden="1" customHeight="1" x14ac:dyDescent="0.2">
      <c r="A103" s="176">
        <v>11</v>
      </c>
      <c r="B103" s="290"/>
      <c r="C103" s="292"/>
      <c r="D103" s="292"/>
      <c r="E103" s="292"/>
      <c r="F103" s="292"/>
      <c r="G103" s="292"/>
      <c r="H103" s="292"/>
      <c r="I103" s="292"/>
      <c r="J103" s="291"/>
      <c r="K103" s="215">
        <v>0</v>
      </c>
      <c r="L103" s="215">
        <v>0</v>
      </c>
      <c r="M103" s="215">
        <v>0</v>
      </c>
      <c r="N103" s="215">
        <v>0</v>
      </c>
      <c r="O103" s="215">
        <v>0</v>
      </c>
      <c r="P103" s="283">
        <f t="shared" si="8"/>
        <v>0</v>
      </c>
    </row>
    <row r="104" spans="1:23" ht="12.75" hidden="1" customHeight="1" x14ac:dyDescent="0.2">
      <c r="A104" s="176">
        <v>12</v>
      </c>
      <c r="B104" s="290"/>
      <c r="C104" s="292"/>
      <c r="D104" s="292"/>
      <c r="E104" s="292"/>
      <c r="F104" s="292"/>
      <c r="G104" s="292"/>
      <c r="H104" s="292"/>
      <c r="I104" s="292"/>
      <c r="J104" s="291"/>
      <c r="K104" s="215">
        <v>0</v>
      </c>
      <c r="L104" s="215">
        <v>0</v>
      </c>
      <c r="M104" s="215">
        <v>0</v>
      </c>
      <c r="N104" s="215">
        <v>0</v>
      </c>
      <c r="O104" s="215">
        <v>0</v>
      </c>
      <c r="P104" s="283">
        <f t="shared" si="8"/>
        <v>0</v>
      </c>
    </row>
    <row r="105" spans="1:23" ht="12.75" hidden="1" customHeight="1" x14ac:dyDescent="0.2">
      <c r="A105" s="176">
        <v>13</v>
      </c>
      <c r="B105" s="290"/>
      <c r="C105" s="292"/>
      <c r="D105" s="292"/>
      <c r="E105" s="292"/>
      <c r="F105" s="292"/>
      <c r="G105" s="292"/>
      <c r="H105" s="292"/>
      <c r="I105" s="292"/>
      <c r="J105" s="291"/>
      <c r="K105" s="215">
        <v>0</v>
      </c>
      <c r="L105" s="215">
        <v>0</v>
      </c>
      <c r="M105" s="215">
        <v>0</v>
      </c>
      <c r="N105" s="215">
        <v>0</v>
      </c>
      <c r="O105" s="215">
        <v>0</v>
      </c>
      <c r="P105" s="283">
        <f t="shared" si="8"/>
        <v>0</v>
      </c>
    </row>
    <row r="106" spans="1:23" ht="12.75" hidden="1" customHeight="1" x14ac:dyDescent="0.2">
      <c r="A106" s="176">
        <v>14</v>
      </c>
      <c r="B106" s="290"/>
      <c r="C106" s="292"/>
      <c r="D106" s="292"/>
      <c r="E106" s="292"/>
      <c r="F106" s="292"/>
      <c r="G106" s="292"/>
      <c r="H106" s="292"/>
      <c r="I106" s="292"/>
      <c r="J106" s="291"/>
      <c r="K106" s="215">
        <v>0</v>
      </c>
      <c r="L106" s="215">
        <v>0</v>
      </c>
      <c r="M106" s="215">
        <v>0</v>
      </c>
      <c r="N106" s="215">
        <v>0</v>
      </c>
      <c r="O106" s="215">
        <v>0</v>
      </c>
      <c r="P106" s="283">
        <f t="shared" si="8"/>
        <v>0</v>
      </c>
    </row>
    <row r="107" spans="1:23" ht="12.75" hidden="1" customHeight="1" x14ac:dyDescent="0.2">
      <c r="A107" s="176">
        <v>15</v>
      </c>
      <c r="B107" s="290"/>
      <c r="C107" s="293"/>
      <c r="D107" s="293"/>
      <c r="E107" s="293"/>
      <c r="F107" s="293"/>
      <c r="G107" s="293"/>
      <c r="H107" s="293"/>
      <c r="I107" s="293"/>
      <c r="J107" s="294"/>
      <c r="K107" s="215">
        <v>0</v>
      </c>
      <c r="L107" s="215">
        <v>0</v>
      </c>
      <c r="M107" s="215">
        <v>0</v>
      </c>
      <c r="N107" s="215">
        <v>0</v>
      </c>
      <c r="O107" s="215">
        <v>0</v>
      </c>
      <c r="P107" s="283">
        <f t="shared" si="8"/>
        <v>0</v>
      </c>
    </row>
    <row r="108" spans="1:23" ht="12.75" customHeight="1" x14ac:dyDescent="0.25">
      <c r="A108" s="655" t="s">
        <v>79</v>
      </c>
      <c r="B108" s="655"/>
      <c r="C108" s="254"/>
      <c r="D108" s="255"/>
      <c r="E108" s="255"/>
      <c r="F108" s="255"/>
      <c r="G108" s="255"/>
      <c r="H108" s="255"/>
      <c r="I108" s="255"/>
      <c r="J108" s="256"/>
      <c r="K108" s="277">
        <f>SUM(K93:K107)</f>
        <v>0</v>
      </c>
      <c r="L108" s="278">
        <f>SUM(L93:L107)</f>
        <v>0</v>
      </c>
      <c r="M108" s="278">
        <f>SUM(M93:M107)</f>
        <v>0</v>
      </c>
      <c r="N108" s="278">
        <f>SUM(N93:N107)</f>
        <v>0</v>
      </c>
      <c r="O108" s="278">
        <f>SUM(O93:O107)</f>
        <v>0</v>
      </c>
      <c r="P108" s="278">
        <f t="shared" si="8"/>
        <v>0</v>
      </c>
    </row>
    <row r="109" spans="1:23" ht="12.75" customHeight="1" x14ac:dyDescent="0.2"/>
    <row r="110" spans="1:23" ht="12.75" customHeight="1" x14ac:dyDescent="0.25">
      <c r="A110" s="268" t="s">
        <v>80</v>
      </c>
      <c r="B110" s="273"/>
      <c r="C110" s="265"/>
      <c r="D110" s="265"/>
      <c r="E110" s="265"/>
      <c r="F110" s="265"/>
      <c r="G110" s="265"/>
      <c r="H110" s="265"/>
      <c r="I110" s="265"/>
      <c r="J110" s="265"/>
      <c r="K110" s="265"/>
      <c r="L110" s="265"/>
      <c r="M110" s="265"/>
      <c r="N110" s="265"/>
      <c r="O110" s="265"/>
      <c r="P110" s="269"/>
    </row>
    <row r="111" spans="1:23" ht="12.75" customHeight="1" x14ac:dyDescent="0.2">
      <c r="A111" s="176">
        <v>1</v>
      </c>
      <c r="B111" s="290" t="s">
        <v>300</v>
      </c>
      <c r="C111" s="291"/>
      <c r="D111" s="246">
        <f>Worksheet!V71</f>
        <v>2.0085000000000002</v>
      </c>
      <c r="E111" s="246">
        <f>Worksheet!W71</f>
        <v>2.0687550000000003</v>
      </c>
      <c r="F111" s="246">
        <f>Worksheet!X71</f>
        <v>2.1308176500000005</v>
      </c>
      <c r="G111" s="246">
        <f>Worksheet!Y71</f>
        <v>2.1947421795000004</v>
      </c>
      <c r="H111" s="246">
        <f>Worksheet!Z71</f>
        <v>2.2605844448850005</v>
      </c>
      <c r="I111" s="246">
        <f>Worksheet!AA71</f>
        <v>2.3284019782315508</v>
      </c>
      <c r="J111" s="176"/>
      <c r="K111" s="215">
        <f>IF($F$7="Yes",0,(IF($C$7="No",ROUND((K31/100)*(((D111*Worksheet!B6)+(E111*Worksheet!B7))/Worksheet!B5),0),0)))</f>
        <v>0</v>
      </c>
      <c r="L111" s="215">
        <f>IF($F$7="Yes",0,(IF(L6=0,"",IF($C$7="No",(ROUND((L31/100)*(((E111*Worksheet!C6)+(F111*Worksheet!C7))/Worksheet!C5),0)),0))))</f>
        <v>0</v>
      </c>
      <c r="M111" s="215">
        <f>IF($F$7="Yes",0,(IF(M6=0,"",IF($C$7="No",(ROUND((M31/100)*(((F111*Worksheet!D6)+(G111*Worksheet!D7))/Worksheet!D5),0)),0))))</f>
        <v>0</v>
      </c>
      <c r="N111" s="215">
        <f>IF($F$7="Yes",0,(IF(N6=0,"",IF($C$7="No",(ROUND((N31/100)*(((G111*Worksheet!E6)+(H111*Worksheet!E7))/Worksheet!E5),0)),0))))</f>
        <v>0</v>
      </c>
      <c r="O111" s="215">
        <f>IF($F$7="Yes",0,(IF(O6=0,"",IF($C$7="No",(ROUND((O31/100)*(((H111*Worksheet!F6)+(I111*Worksheet!F7))/Worksheet!F5),0)),0))))</f>
        <v>0</v>
      </c>
      <c r="P111" s="283">
        <f t="shared" ref="P111:P126" si="9">SUM(K111:O111)</f>
        <v>0</v>
      </c>
      <c r="R111" s="776" t="s">
        <v>81</v>
      </c>
      <c r="S111" s="776"/>
      <c r="T111" s="776"/>
      <c r="U111" s="776"/>
      <c r="V111" s="776"/>
      <c r="W111" s="776"/>
    </row>
    <row r="112" spans="1:23" ht="12.75" customHeight="1" x14ac:dyDescent="0.2">
      <c r="A112" s="176">
        <v>2</v>
      </c>
      <c r="B112" s="641" t="s">
        <v>30</v>
      </c>
      <c r="C112" s="642"/>
      <c r="D112" s="642"/>
      <c r="E112" s="642"/>
      <c r="F112" s="642"/>
      <c r="G112" s="642"/>
      <c r="H112" s="642"/>
      <c r="I112" s="642"/>
      <c r="J112" s="643"/>
      <c r="K112" s="215">
        <v>0</v>
      </c>
      <c r="L112" s="215">
        <v>0</v>
      </c>
      <c r="M112" s="215">
        <v>0</v>
      </c>
      <c r="N112" s="215">
        <v>0</v>
      </c>
      <c r="O112" s="215">
        <v>0</v>
      </c>
      <c r="P112" s="283">
        <f t="shared" si="9"/>
        <v>0</v>
      </c>
    </row>
    <row r="113" spans="1:22" ht="12.75" customHeight="1" x14ac:dyDescent="0.2">
      <c r="A113" s="176">
        <v>3</v>
      </c>
      <c r="B113" s="290" t="s">
        <v>30</v>
      </c>
      <c r="C113" s="292"/>
      <c r="D113" s="292"/>
      <c r="E113" s="292"/>
      <c r="F113" s="292"/>
      <c r="G113" s="292"/>
      <c r="H113" s="292"/>
      <c r="I113" s="292"/>
      <c r="J113" s="291"/>
      <c r="K113" s="215">
        <v>0</v>
      </c>
      <c r="L113" s="215">
        <v>0</v>
      </c>
      <c r="M113" s="215">
        <v>0</v>
      </c>
      <c r="N113" s="215">
        <v>0</v>
      </c>
      <c r="O113" s="215">
        <v>0</v>
      </c>
      <c r="P113" s="283">
        <f t="shared" si="9"/>
        <v>0</v>
      </c>
    </row>
    <row r="114" spans="1:22" ht="12.75" customHeight="1" x14ac:dyDescent="0.2">
      <c r="A114" s="176">
        <v>4</v>
      </c>
      <c r="B114" s="290" t="s">
        <v>30</v>
      </c>
      <c r="C114" s="292"/>
      <c r="D114" s="292"/>
      <c r="E114" s="292"/>
      <c r="F114" s="292"/>
      <c r="G114" s="292"/>
      <c r="H114" s="292"/>
      <c r="I114" s="292"/>
      <c r="J114" s="291"/>
      <c r="K114" s="215">
        <v>0</v>
      </c>
      <c r="L114" s="215">
        <v>0</v>
      </c>
      <c r="M114" s="215">
        <v>0</v>
      </c>
      <c r="N114" s="215">
        <v>0</v>
      </c>
      <c r="O114" s="215">
        <v>0</v>
      </c>
      <c r="P114" s="283">
        <f t="shared" si="9"/>
        <v>0</v>
      </c>
    </row>
    <row r="115" spans="1:22" ht="12.75" customHeight="1" x14ac:dyDescent="0.2">
      <c r="A115" s="176">
        <v>5</v>
      </c>
      <c r="B115" s="641" t="s">
        <v>30</v>
      </c>
      <c r="C115" s="642"/>
      <c r="D115" s="642"/>
      <c r="E115" s="642"/>
      <c r="F115" s="642"/>
      <c r="G115" s="642"/>
      <c r="H115" s="642"/>
      <c r="I115" s="642"/>
      <c r="J115" s="643"/>
      <c r="K115" s="215">
        <v>0</v>
      </c>
      <c r="L115" s="215">
        <v>0</v>
      </c>
      <c r="M115" s="215">
        <v>0</v>
      </c>
      <c r="N115" s="215">
        <v>0</v>
      </c>
      <c r="O115" s="215">
        <v>0</v>
      </c>
      <c r="P115" s="283">
        <f t="shared" si="9"/>
        <v>0</v>
      </c>
      <c r="R115" s="271"/>
    </row>
    <row r="116" spans="1:22" ht="12.75" customHeight="1" x14ac:dyDescent="0.2">
      <c r="A116" s="176">
        <v>6</v>
      </c>
      <c r="B116" s="290" t="s">
        <v>349</v>
      </c>
      <c r="C116" s="292"/>
      <c r="D116" s="292"/>
      <c r="E116" s="292"/>
      <c r="F116" s="292"/>
      <c r="G116" s="292"/>
      <c r="H116" s="292"/>
      <c r="I116" s="292"/>
      <c r="J116" s="291"/>
      <c r="K116" s="215">
        <v>0</v>
      </c>
      <c r="L116" s="215">
        <v>0</v>
      </c>
      <c r="M116" s="215">
        <v>0</v>
      </c>
      <c r="N116" s="215">
        <v>0</v>
      </c>
      <c r="O116" s="215">
        <v>0</v>
      </c>
      <c r="P116" s="283">
        <f t="shared" si="9"/>
        <v>0</v>
      </c>
      <c r="R116" s="272"/>
    </row>
    <row r="117" spans="1:22" ht="12.75" customHeight="1" x14ac:dyDescent="0.2">
      <c r="A117" s="176">
        <v>7</v>
      </c>
      <c r="B117" s="290" t="s">
        <v>349</v>
      </c>
      <c r="C117" s="292"/>
      <c r="D117" s="292"/>
      <c r="E117" s="292"/>
      <c r="F117" s="292"/>
      <c r="G117" s="292"/>
      <c r="H117" s="292"/>
      <c r="I117" s="292"/>
      <c r="J117" s="291"/>
      <c r="K117" s="215">
        <v>0</v>
      </c>
      <c r="L117" s="215">
        <v>0</v>
      </c>
      <c r="M117" s="215">
        <v>0</v>
      </c>
      <c r="N117" s="215">
        <v>0</v>
      </c>
      <c r="O117" s="215">
        <v>0</v>
      </c>
      <c r="P117" s="283">
        <f t="shared" si="9"/>
        <v>0</v>
      </c>
    </row>
    <row r="118" spans="1:22" ht="12.75" hidden="1" customHeight="1" x14ac:dyDescent="0.2">
      <c r="A118" s="176">
        <v>8</v>
      </c>
      <c r="B118" s="290" t="s">
        <v>349</v>
      </c>
      <c r="C118" s="292"/>
      <c r="D118" s="292"/>
      <c r="E118" s="292"/>
      <c r="F118" s="292"/>
      <c r="G118" s="292"/>
      <c r="H118" s="292"/>
      <c r="I118" s="292"/>
      <c r="J118" s="291"/>
      <c r="K118" s="215">
        <v>0</v>
      </c>
      <c r="L118" s="215">
        <v>0</v>
      </c>
      <c r="M118" s="215">
        <v>0</v>
      </c>
      <c r="N118" s="215">
        <v>0</v>
      </c>
      <c r="O118" s="215">
        <v>0</v>
      </c>
      <c r="P118" s="283">
        <f t="shared" si="9"/>
        <v>0</v>
      </c>
    </row>
    <row r="119" spans="1:22" ht="12.75" hidden="1" customHeight="1" x14ac:dyDescent="0.2">
      <c r="A119" s="176">
        <v>9</v>
      </c>
      <c r="B119" s="290" t="s">
        <v>349</v>
      </c>
      <c r="C119" s="292"/>
      <c r="D119" s="292"/>
      <c r="E119" s="292"/>
      <c r="F119" s="292"/>
      <c r="G119" s="292"/>
      <c r="H119" s="292"/>
      <c r="I119" s="292"/>
      <c r="J119" s="291"/>
      <c r="K119" s="215">
        <v>0</v>
      </c>
      <c r="L119" s="215">
        <v>0</v>
      </c>
      <c r="M119" s="215">
        <v>0</v>
      </c>
      <c r="N119" s="215">
        <v>0</v>
      </c>
      <c r="O119" s="215">
        <v>0</v>
      </c>
      <c r="P119" s="283">
        <f t="shared" si="9"/>
        <v>0</v>
      </c>
    </row>
    <row r="120" spans="1:22" ht="12.75" hidden="1" customHeight="1" x14ac:dyDescent="0.2">
      <c r="A120" s="176">
        <v>10</v>
      </c>
      <c r="B120" s="290" t="s">
        <v>349</v>
      </c>
      <c r="C120" s="292"/>
      <c r="D120" s="292"/>
      <c r="E120" s="292"/>
      <c r="F120" s="292"/>
      <c r="G120" s="292"/>
      <c r="H120" s="292"/>
      <c r="I120" s="292"/>
      <c r="J120" s="291"/>
      <c r="K120" s="215">
        <v>0</v>
      </c>
      <c r="L120" s="215">
        <v>0</v>
      </c>
      <c r="M120" s="215">
        <v>0</v>
      </c>
      <c r="N120" s="215">
        <v>0</v>
      </c>
      <c r="O120" s="215">
        <v>0</v>
      </c>
      <c r="P120" s="283">
        <f t="shared" si="9"/>
        <v>0</v>
      </c>
    </row>
    <row r="121" spans="1:22" ht="12.75" hidden="1" customHeight="1" x14ac:dyDescent="0.2">
      <c r="A121" s="176">
        <v>11</v>
      </c>
      <c r="B121" s="290" t="s">
        <v>349</v>
      </c>
      <c r="C121" s="292"/>
      <c r="D121" s="292"/>
      <c r="E121" s="292"/>
      <c r="F121" s="292"/>
      <c r="G121" s="292"/>
      <c r="H121" s="292"/>
      <c r="I121" s="292"/>
      <c r="J121" s="291"/>
      <c r="K121" s="215">
        <v>0</v>
      </c>
      <c r="L121" s="215">
        <v>0</v>
      </c>
      <c r="M121" s="215">
        <v>0</v>
      </c>
      <c r="N121" s="215">
        <v>0</v>
      </c>
      <c r="O121" s="215">
        <v>0</v>
      </c>
      <c r="P121" s="283">
        <f t="shared" si="9"/>
        <v>0</v>
      </c>
    </row>
    <row r="122" spans="1:22" ht="12.75" hidden="1" customHeight="1" x14ac:dyDescent="0.2">
      <c r="A122" s="176">
        <v>12</v>
      </c>
      <c r="B122" s="290" t="s">
        <v>349</v>
      </c>
      <c r="C122" s="292"/>
      <c r="D122" s="292"/>
      <c r="E122" s="292"/>
      <c r="F122" s="292"/>
      <c r="G122" s="292"/>
      <c r="H122" s="292"/>
      <c r="I122" s="292"/>
      <c r="J122" s="291"/>
      <c r="K122" s="215">
        <v>0</v>
      </c>
      <c r="L122" s="215">
        <v>0</v>
      </c>
      <c r="M122" s="215">
        <v>0</v>
      </c>
      <c r="N122" s="215">
        <v>0</v>
      </c>
      <c r="O122" s="215">
        <v>0</v>
      </c>
      <c r="P122" s="283">
        <f t="shared" si="9"/>
        <v>0</v>
      </c>
    </row>
    <row r="123" spans="1:22" ht="12.75" hidden="1" customHeight="1" x14ac:dyDescent="0.2">
      <c r="A123" s="176">
        <v>13</v>
      </c>
      <c r="B123" s="290" t="s">
        <v>349</v>
      </c>
      <c r="C123" s="292"/>
      <c r="D123" s="292"/>
      <c r="E123" s="292"/>
      <c r="F123" s="292"/>
      <c r="G123" s="292"/>
      <c r="H123" s="292"/>
      <c r="I123" s="292"/>
      <c r="J123" s="291"/>
      <c r="K123" s="215">
        <v>0</v>
      </c>
      <c r="L123" s="215">
        <v>0</v>
      </c>
      <c r="M123" s="215">
        <v>0</v>
      </c>
      <c r="N123" s="215">
        <v>0</v>
      </c>
      <c r="O123" s="215">
        <v>0</v>
      </c>
      <c r="P123" s="283">
        <f t="shared" si="9"/>
        <v>0</v>
      </c>
    </row>
    <row r="124" spans="1:22" ht="12.75" hidden="1" customHeight="1" x14ac:dyDescent="0.2">
      <c r="A124" s="176">
        <v>14</v>
      </c>
      <c r="B124" s="290" t="s">
        <v>349</v>
      </c>
      <c r="C124" s="292"/>
      <c r="D124" s="292"/>
      <c r="E124" s="292"/>
      <c r="F124" s="292"/>
      <c r="G124" s="292"/>
      <c r="H124" s="292"/>
      <c r="I124" s="292"/>
      <c r="J124" s="291"/>
      <c r="K124" s="215">
        <v>0</v>
      </c>
      <c r="L124" s="215">
        <v>0</v>
      </c>
      <c r="M124" s="215">
        <v>0</v>
      </c>
      <c r="N124" s="215">
        <v>0</v>
      </c>
      <c r="O124" s="215">
        <v>0</v>
      </c>
      <c r="P124" s="283">
        <f t="shared" si="9"/>
        <v>0</v>
      </c>
    </row>
    <row r="125" spans="1:22" ht="12.75" hidden="1" customHeight="1" x14ac:dyDescent="0.2">
      <c r="A125" s="176">
        <v>15</v>
      </c>
      <c r="B125" s="290" t="s">
        <v>349</v>
      </c>
      <c r="C125" s="293"/>
      <c r="D125" s="293"/>
      <c r="E125" s="293"/>
      <c r="F125" s="293"/>
      <c r="G125" s="293"/>
      <c r="H125" s="293"/>
      <c r="I125" s="293"/>
      <c r="J125" s="294"/>
      <c r="K125" s="215">
        <v>0</v>
      </c>
      <c r="L125" s="215">
        <v>0</v>
      </c>
      <c r="M125" s="215">
        <v>0</v>
      </c>
      <c r="N125" s="215">
        <v>0</v>
      </c>
      <c r="O125" s="215">
        <v>0</v>
      </c>
      <c r="P125" s="283">
        <f t="shared" si="9"/>
        <v>0</v>
      </c>
    </row>
    <row r="126" spans="1:22" ht="12.75" customHeight="1" x14ac:dyDescent="0.25">
      <c r="A126" s="654" t="s">
        <v>85</v>
      </c>
      <c r="B126" s="655"/>
      <c r="C126" s="254"/>
      <c r="D126" s="255"/>
      <c r="E126" s="255"/>
      <c r="F126" s="255"/>
      <c r="G126" s="255"/>
      <c r="H126" s="255"/>
      <c r="I126" s="255"/>
      <c r="J126" s="256"/>
      <c r="K126" s="277">
        <f>SUM(K111:K125)</f>
        <v>0</v>
      </c>
      <c r="L126" s="278">
        <f>SUM(L111:L125)</f>
        <v>0</v>
      </c>
      <c r="M126" s="278">
        <f>SUM(M111:M125)</f>
        <v>0</v>
      </c>
      <c r="N126" s="278">
        <f>SUM(N111:N125)</f>
        <v>0</v>
      </c>
      <c r="O126" s="278">
        <f>SUM(O111:O125)</f>
        <v>0</v>
      </c>
      <c r="P126" s="278">
        <f t="shared" si="9"/>
        <v>0</v>
      </c>
    </row>
    <row r="127" spans="1:22" ht="12.75" customHeight="1" x14ac:dyDescent="0.2"/>
    <row r="128" spans="1:22" ht="12.75" customHeight="1" x14ac:dyDescent="0.25">
      <c r="A128" s="268" t="s">
        <v>86</v>
      </c>
      <c r="B128" s="273"/>
      <c r="C128" s="265"/>
      <c r="D128" s="784" t="s">
        <v>214</v>
      </c>
      <c r="E128" s="784"/>
      <c r="F128" s="274"/>
      <c r="G128" s="274"/>
      <c r="H128" s="274"/>
      <c r="I128" s="274"/>
      <c r="J128" s="274"/>
      <c r="K128" s="275"/>
      <c r="L128" s="275"/>
      <c r="M128" s="275"/>
      <c r="N128" s="275"/>
      <c r="O128" s="275"/>
      <c r="P128" s="472"/>
      <c r="R128" s="656" t="s">
        <v>87</v>
      </c>
      <c r="S128" s="656"/>
      <c r="T128" s="656"/>
      <c r="U128" s="656"/>
      <c r="V128" s="656"/>
    </row>
    <row r="129" spans="1:22" ht="12.75" customHeight="1" x14ac:dyDescent="0.2">
      <c r="A129" s="176">
        <v>1</v>
      </c>
      <c r="B129" s="641"/>
      <c r="C129" s="643"/>
      <c r="D129" s="652" t="s">
        <v>88</v>
      </c>
      <c r="E129" s="653"/>
      <c r="F129" s="212"/>
      <c r="G129" s="213"/>
      <c r="H129" s="213"/>
      <c r="I129" s="213"/>
      <c r="J129" s="214"/>
      <c r="K129" s="215">
        <v>0</v>
      </c>
      <c r="L129" s="215">
        <v>0</v>
      </c>
      <c r="M129" s="215">
        <v>0</v>
      </c>
      <c r="N129" s="215">
        <v>0</v>
      </c>
      <c r="O129" s="215">
        <v>0</v>
      </c>
      <c r="P129" s="473">
        <f t="shared" ref="P129:P145" si="10">SUM(K129:O129)</f>
        <v>0</v>
      </c>
      <c r="Q129" s="216" t="s">
        <v>345</v>
      </c>
      <c r="R129" s="670" t="s">
        <v>89</v>
      </c>
      <c r="S129" s="670"/>
      <c r="T129" s="670"/>
      <c r="U129" s="670"/>
      <c r="V129" s="670"/>
    </row>
    <row r="130" spans="1:22" ht="12.75" customHeight="1" x14ac:dyDescent="0.2">
      <c r="A130" s="657" t="s">
        <v>90</v>
      </c>
      <c r="B130" s="658"/>
      <c r="C130" s="658"/>
      <c r="D130" s="658"/>
      <c r="E130" s="658"/>
      <c r="F130" s="659"/>
      <c r="G130" s="659"/>
      <c r="H130" s="659"/>
      <c r="I130" s="659"/>
      <c r="J130" s="659"/>
      <c r="K130" s="348">
        <f>IF(D129="Non-UC",(IF(K129&gt;25000,25000,K129)),IF(D129="UC",0))</f>
        <v>0</v>
      </c>
      <c r="L130" s="348">
        <f>IF(D129="Non-UC",(IF(K130&gt;25000,0,IF(L129+K129&lt;25000,L129,25000-K130))),IF(D129="UC",0))</f>
        <v>0</v>
      </c>
      <c r="M130" s="348">
        <f>IF(D129="Non-UC",IF(L130+K130&gt;24999,0,IF(SUM(K129:M129)&lt;25000,M129,25000-K130-L130)),IF(D129="UC",0))</f>
        <v>0</v>
      </c>
      <c r="N130" s="348">
        <f>IF(D129="Non-UC",(IF(SUM(K130:M130)&gt;24999,0,IF(SUM(K129:N129)&lt;25000,N129,25000-K130-L130-M130))),IF(D129="UC",0))</f>
        <v>0</v>
      </c>
      <c r="O130" s="348">
        <f>IF(D129="Non-UC",(IF(SUM(K130:N130)&gt;24999,0,IF(SUM(K129:O129)&lt;25000,O129,25000-K130-L130-M130-N130))),IF(D129="UC",0))</f>
        <v>0</v>
      </c>
      <c r="P130" s="474">
        <f t="shared" si="10"/>
        <v>0</v>
      </c>
      <c r="Q130" s="216"/>
    </row>
    <row r="131" spans="1:22" ht="12.75" customHeight="1" x14ac:dyDescent="0.2">
      <c r="A131" s="176">
        <v>2</v>
      </c>
      <c r="B131" s="641"/>
      <c r="C131" s="643"/>
      <c r="D131" s="652" t="s">
        <v>91</v>
      </c>
      <c r="E131" s="653"/>
      <c r="F131" s="212"/>
      <c r="G131" s="213"/>
      <c r="H131" s="213"/>
      <c r="I131" s="213"/>
      <c r="J131" s="214"/>
      <c r="K131" s="215">
        <v>0</v>
      </c>
      <c r="L131" s="215">
        <v>0</v>
      </c>
      <c r="M131" s="215">
        <v>0</v>
      </c>
      <c r="N131" s="215">
        <v>0</v>
      </c>
      <c r="O131" s="215">
        <v>0</v>
      </c>
      <c r="P131" s="473">
        <f t="shared" si="10"/>
        <v>0</v>
      </c>
    </row>
    <row r="132" spans="1:22" ht="12.75" customHeight="1" x14ac:dyDescent="0.2">
      <c r="A132" s="657" t="s">
        <v>90</v>
      </c>
      <c r="B132" s="658"/>
      <c r="C132" s="658"/>
      <c r="D132" s="658"/>
      <c r="E132" s="658"/>
      <c r="F132" s="659"/>
      <c r="G132" s="659"/>
      <c r="H132" s="659"/>
      <c r="I132" s="659"/>
      <c r="J132" s="659"/>
      <c r="K132" s="348">
        <f>IF(D131="Non-UC",(IF(K131&gt;25000,25000,K131)),IF(D131="UC",0))</f>
        <v>0</v>
      </c>
      <c r="L132" s="348">
        <f>IF(D131="Non-UC",(IF(K132&gt;25000,0,IF(L131+K131&lt;25000,L131,25000-K132))),IF(D131="UC",0))</f>
        <v>0</v>
      </c>
      <c r="M132" s="348">
        <f>IF(D131="Non-UC",IF(L132+K132&gt;24999,0,IF(SUM(K131:M131)&lt;25000,M131,25000-K132-L132)),IF(D131="UC",0))</f>
        <v>0</v>
      </c>
      <c r="N132" s="348">
        <f>IF(D131="Non-UC",(IF(SUM(K132:M132)&gt;24999,0,IF(SUM(K131:N131)&lt;25000,N131,25000-K132-L132-M132))),IF(D131="UC",0))</f>
        <v>0</v>
      </c>
      <c r="O132" s="348">
        <f>IF(D131="Non-UC",(IF(SUM(K132:N132)&gt;24999,0,IF(SUM(K131:O131)&lt;25000,O131,25000-K132-L132-M132-N132))),IF(D131="UC",0))</f>
        <v>0</v>
      </c>
      <c r="P132" s="474">
        <f t="shared" si="10"/>
        <v>0</v>
      </c>
    </row>
    <row r="133" spans="1:22" ht="12.75" customHeight="1" x14ac:dyDescent="0.2">
      <c r="A133" s="176">
        <v>3</v>
      </c>
      <c r="B133" s="641"/>
      <c r="C133" s="643"/>
      <c r="D133" s="652" t="s">
        <v>91</v>
      </c>
      <c r="E133" s="653"/>
      <c r="F133" s="212"/>
      <c r="G133" s="213"/>
      <c r="H133" s="213"/>
      <c r="I133" s="213"/>
      <c r="J133" s="214"/>
      <c r="K133" s="215">
        <v>0</v>
      </c>
      <c r="L133" s="215">
        <v>0</v>
      </c>
      <c r="M133" s="215">
        <v>0</v>
      </c>
      <c r="N133" s="215">
        <v>0</v>
      </c>
      <c r="O133" s="215">
        <v>0</v>
      </c>
      <c r="P133" s="473">
        <f t="shared" si="10"/>
        <v>0</v>
      </c>
      <c r="R133" s="276"/>
    </row>
    <row r="134" spans="1:22" ht="12.75" customHeight="1" x14ac:dyDescent="0.2">
      <c r="A134" s="657" t="s">
        <v>90</v>
      </c>
      <c r="B134" s="658"/>
      <c r="C134" s="658"/>
      <c r="D134" s="658"/>
      <c r="E134" s="658"/>
      <c r="F134" s="659"/>
      <c r="G134" s="659"/>
      <c r="H134" s="659"/>
      <c r="I134" s="659"/>
      <c r="J134" s="660"/>
      <c r="K134" s="348">
        <f>IF(D133="Non-UC",(IF(K133&gt;25000,25000,K133)),IF(D133="UC",0))</f>
        <v>0</v>
      </c>
      <c r="L134" s="348">
        <f>IF(D133="Non-UC",(IF(K134&gt;25000,0,IF(L133+K133&lt;25000,L133,25000-K134))),IF(D133="UC",0))</f>
        <v>0</v>
      </c>
      <c r="M134" s="348">
        <f>IF(D133="Non-UC",IF(L134+K134&gt;24999,0,IF(SUM(K133:M133)&lt;25000,M133,25000-K134-L134)),IF(D133="UC",0))</f>
        <v>0</v>
      </c>
      <c r="N134" s="348">
        <f>IF(D133="Non-UC",(IF(SUM(K134:M134)&gt;24999,0,IF(SUM(K133:N133)&lt;25000,N133,25000-K134-L134-M134))),IF(D133="UC",0))</f>
        <v>0</v>
      </c>
      <c r="O134" s="348">
        <f>IF(D133="Non-UC",(IF(SUM(K134:N134)&gt;24999,0,IF(SUM(K133:O133)&lt;25000,O133,25000-K134-L134-M134-N134))),IF(D133="UC",0))</f>
        <v>0</v>
      </c>
      <c r="P134" s="474">
        <f t="shared" si="10"/>
        <v>0</v>
      </c>
    </row>
    <row r="135" spans="1:22" ht="12.75" customHeight="1" x14ac:dyDescent="0.2">
      <c r="A135" s="176">
        <v>4</v>
      </c>
      <c r="B135" s="641"/>
      <c r="C135" s="643"/>
      <c r="D135" s="652" t="s">
        <v>91</v>
      </c>
      <c r="E135" s="653"/>
      <c r="F135" s="212"/>
      <c r="G135" s="213"/>
      <c r="H135" s="213"/>
      <c r="I135" s="213"/>
      <c r="J135" s="214"/>
      <c r="K135" s="215">
        <v>0</v>
      </c>
      <c r="L135" s="215">
        <v>0</v>
      </c>
      <c r="M135" s="215">
        <v>0</v>
      </c>
      <c r="N135" s="215">
        <v>0</v>
      </c>
      <c r="O135" s="215">
        <v>0</v>
      </c>
      <c r="P135" s="473">
        <f t="shared" si="10"/>
        <v>0</v>
      </c>
    </row>
    <row r="136" spans="1:22" ht="12.75" customHeight="1" x14ac:dyDescent="0.2">
      <c r="A136" s="657" t="s">
        <v>90</v>
      </c>
      <c r="B136" s="658"/>
      <c r="C136" s="658"/>
      <c r="D136" s="658"/>
      <c r="E136" s="658"/>
      <c r="F136" s="659"/>
      <c r="G136" s="659"/>
      <c r="H136" s="659"/>
      <c r="I136" s="659"/>
      <c r="J136" s="660"/>
      <c r="K136" s="348">
        <f>IF(D135="Non-UC",(IF(K135&gt;25000,25000,K135)),IF(D135="UC",0))</f>
        <v>0</v>
      </c>
      <c r="L136" s="348">
        <f>IF(D135="Non-UC",(IF(K136&gt;25000,0,IF(L135+K135&lt;25000,L135,25000-K136))),IF(D135="UC",0))</f>
        <v>0</v>
      </c>
      <c r="M136" s="348">
        <f>IF(D135="Non-UC",IF(L136+K136&gt;24999,0,IF(SUM(K135:M135)&lt;25000,M135,25000-K136-L136)),IF(D135="UC",0))</f>
        <v>0</v>
      </c>
      <c r="N136" s="348">
        <f>IF(D135="Non-UC",(IF(SUM(K136:M136)&gt;24999,0,IF(SUM(K135:N135)&lt;25000,N135,25000-K136-L136-M136))),IF(D135="UC",0))</f>
        <v>0</v>
      </c>
      <c r="O136" s="348">
        <f>IF(D135="Non-UC",(IF(SUM(K136:N136)&gt;24999,0,IF(SUM(K135:O135)&lt;25000,O135,25000-K136-L136-M136-N136))),IF(D135="UC",0))</f>
        <v>0</v>
      </c>
      <c r="P136" s="474">
        <f t="shared" si="10"/>
        <v>0</v>
      </c>
    </row>
    <row r="137" spans="1:22" ht="12.75" customHeight="1" x14ac:dyDescent="0.2">
      <c r="A137" s="176">
        <v>5</v>
      </c>
      <c r="B137" s="641"/>
      <c r="C137" s="643"/>
      <c r="D137" s="652" t="s">
        <v>91</v>
      </c>
      <c r="E137" s="653"/>
      <c r="F137" s="212"/>
      <c r="G137" s="213"/>
      <c r="H137" s="213"/>
      <c r="I137" s="213"/>
      <c r="J137" s="214"/>
      <c r="K137" s="215">
        <v>0</v>
      </c>
      <c r="L137" s="215">
        <v>0</v>
      </c>
      <c r="M137" s="215">
        <v>0</v>
      </c>
      <c r="N137" s="215">
        <v>0</v>
      </c>
      <c r="O137" s="215">
        <v>0</v>
      </c>
      <c r="P137" s="473">
        <f t="shared" si="10"/>
        <v>0</v>
      </c>
    </row>
    <row r="138" spans="1:22" ht="12.75" customHeight="1" x14ac:dyDescent="0.2">
      <c r="A138" s="657" t="s">
        <v>90</v>
      </c>
      <c r="B138" s="658"/>
      <c r="C138" s="658"/>
      <c r="D138" s="658"/>
      <c r="E138" s="658"/>
      <c r="F138" s="659"/>
      <c r="G138" s="659"/>
      <c r="H138" s="659"/>
      <c r="I138" s="659"/>
      <c r="J138" s="660"/>
      <c r="K138" s="348">
        <f>IF(D137="Non-UC",(IF(K137&gt;25000,25000,K137)),IF(D137="UC",0))</f>
        <v>0</v>
      </c>
      <c r="L138" s="348">
        <f>IF(D137="Non-UC",(IF(K138&gt;25000,0,IF(L137+K137&lt;25000,L137,25000-K138))),IF(D137="UC",0))</f>
        <v>0</v>
      </c>
      <c r="M138" s="348">
        <f>IF(D137="Non-UC",IF(L138+K138&gt;24999,0,IF(SUM(K137:M137)&lt;25000,M137,25000-K138-L138)),IF(D137="UC",0))</f>
        <v>0</v>
      </c>
      <c r="N138" s="348">
        <f>IF(D137="Non-UC",(IF(SUM(K138:M138)&gt;24999,0,IF(SUM(K137:N137)&lt;25000,N137,25000-K138-L138-M138))),IF(D137="UC",0))</f>
        <v>0</v>
      </c>
      <c r="O138" s="348">
        <f>IF(D137="Non-UC",(IF(SUM(K138:N138)&gt;24999,0,IF(SUM(K137:O137)&lt;25000,O137,25000-K138-L138-M138-N138))),IF(D137="UC",0))</f>
        <v>0</v>
      </c>
      <c r="P138" s="474">
        <f t="shared" si="10"/>
        <v>0</v>
      </c>
    </row>
    <row r="139" spans="1:22" ht="12.75" customHeight="1" x14ac:dyDescent="0.2">
      <c r="A139" s="176">
        <v>6</v>
      </c>
      <c r="B139" s="641"/>
      <c r="C139" s="643"/>
      <c r="D139" s="652" t="s">
        <v>88</v>
      </c>
      <c r="E139" s="653"/>
      <c r="F139" s="212"/>
      <c r="G139" s="213"/>
      <c r="H139" s="213"/>
      <c r="I139" s="213"/>
      <c r="J139" s="214"/>
      <c r="K139" s="215">
        <v>0</v>
      </c>
      <c r="L139" s="215">
        <v>0</v>
      </c>
      <c r="M139" s="215">
        <v>0</v>
      </c>
      <c r="N139" s="215">
        <v>0</v>
      </c>
      <c r="O139" s="215">
        <v>0</v>
      </c>
      <c r="P139" s="473">
        <f t="shared" si="10"/>
        <v>0</v>
      </c>
    </row>
    <row r="140" spans="1:22" ht="12.75" customHeight="1" x14ac:dyDescent="0.2">
      <c r="A140" s="657" t="s">
        <v>90</v>
      </c>
      <c r="B140" s="658"/>
      <c r="C140" s="658"/>
      <c r="D140" s="658"/>
      <c r="E140" s="658"/>
      <c r="F140" s="659"/>
      <c r="G140" s="659"/>
      <c r="H140" s="659"/>
      <c r="I140" s="659"/>
      <c r="J140" s="660"/>
      <c r="K140" s="348">
        <f>IF(D139="Non-UC",(IF(K139&gt;25000,25000,K139)),IF(D139="UC",0))</f>
        <v>0</v>
      </c>
      <c r="L140" s="348">
        <f>IF(D139="Non-UC",(IF(K140&gt;25000,0,IF(L139+K139&lt;25000,L139,25000-K140))),IF(D139="UC",0))</f>
        <v>0</v>
      </c>
      <c r="M140" s="348">
        <f>IF(D139="Non-UC",IF(L140+K140&gt;24999,0,IF(SUM(K139:M139)&lt;25000,M139,25000-K140-L140)),IF(D139="UC",0))</f>
        <v>0</v>
      </c>
      <c r="N140" s="348">
        <f>IF(D139="Non-UC",(IF(SUM(K140:M140)&gt;24999,0,IF(SUM(K139:N139)&lt;25000,N139,25000-K140-L140-M140))),IF(D139="UC",0))</f>
        <v>0</v>
      </c>
      <c r="O140" s="348">
        <f>IF(D139="Non-UC",(IF(SUM(K140:N140)&gt;24999,0,IF(SUM(K139:O139)&lt;25000,O139,25000-K140-L140-M140-N140))),IF(D139="UC",0))</f>
        <v>0</v>
      </c>
      <c r="P140" s="474">
        <f t="shared" si="10"/>
        <v>0</v>
      </c>
    </row>
    <row r="141" spans="1:22" ht="12.75" customHeight="1" x14ac:dyDescent="0.2">
      <c r="A141" s="176">
        <v>7</v>
      </c>
      <c r="B141" s="641"/>
      <c r="C141" s="643"/>
      <c r="D141" s="652" t="s">
        <v>88</v>
      </c>
      <c r="E141" s="653"/>
      <c r="F141" s="212"/>
      <c r="G141" s="213"/>
      <c r="H141" s="213"/>
      <c r="I141" s="213"/>
      <c r="J141" s="214"/>
      <c r="K141" s="215">
        <v>0</v>
      </c>
      <c r="L141" s="215">
        <v>0</v>
      </c>
      <c r="M141" s="215">
        <v>0</v>
      </c>
      <c r="N141" s="215">
        <v>0</v>
      </c>
      <c r="O141" s="215">
        <v>0</v>
      </c>
      <c r="P141" s="473">
        <f t="shared" si="10"/>
        <v>0</v>
      </c>
    </row>
    <row r="142" spans="1:22" ht="12.75" customHeight="1" x14ac:dyDescent="0.2">
      <c r="A142" s="657" t="s">
        <v>90</v>
      </c>
      <c r="B142" s="658"/>
      <c r="C142" s="658"/>
      <c r="D142" s="658"/>
      <c r="E142" s="658"/>
      <c r="F142" s="659"/>
      <c r="G142" s="659"/>
      <c r="H142" s="659"/>
      <c r="I142" s="659"/>
      <c r="J142" s="660"/>
      <c r="K142" s="348">
        <f>IF(D141="Non-UC",(IF(K141&gt;25000,25000,K141)),IF(D141="UC",0))</f>
        <v>0</v>
      </c>
      <c r="L142" s="348">
        <f>IF(D141="Non-UC",(IF(K142&gt;25000,0,IF(L141+K141&lt;25000,L141,25000-K142))),IF(D141="UC",0))</f>
        <v>0</v>
      </c>
      <c r="M142" s="348">
        <f>IF(D141="Non-UC",IF(L142+K142&gt;24999,0,IF(SUM(K141:M141)&lt;25000,M141,25000-K142-L142)),IF(D141="UC",0))</f>
        <v>0</v>
      </c>
      <c r="N142" s="348">
        <f>IF(D141="Non-UC",(IF(SUM(K142:M142)&gt;24999,0,IF(SUM(K141:N141)&lt;25000,N141,25000-K142-L142-M142))),IF(D141="UC",0))</f>
        <v>0</v>
      </c>
      <c r="O142" s="348">
        <f>IF(D141="Non-UC",(IF(SUM(K142:N142)&gt;24999,0,IF(SUM(K141:O141)&lt;25000,O141,25000-K142-L142-M142-N142))),IF(D141="UC",0))</f>
        <v>0</v>
      </c>
      <c r="P142" s="474">
        <f t="shared" si="10"/>
        <v>0</v>
      </c>
    </row>
    <row r="143" spans="1:22" ht="12.75" customHeight="1" x14ac:dyDescent="0.2">
      <c r="A143" s="176">
        <v>8</v>
      </c>
      <c r="B143" s="641"/>
      <c r="C143" s="643"/>
      <c r="D143" s="652" t="s">
        <v>88</v>
      </c>
      <c r="E143" s="653"/>
      <c r="F143" s="212"/>
      <c r="G143" s="213"/>
      <c r="H143" s="213"/>
      <c r="I143" s="213"/>
      <c r="J143" s="214"/>
      <c r="K143" s="215">
        <v>0</v>
      </c>
      <c r="L143" s="215">
        <v>0</v>
      </c>
      <c r="M143" s="215">
        <v>0</v>
      </c>
      <c r="N143" s="215">
        <v>0</v>
      </c>
      <c r="O143" s="215">
        <v>0</v>
      </c>
      <c r="P143" s="473">
        <f t="shared" si="10"/>
        <v>0</v>
      </c>
    </row>
    <row r="144" spans="1:22" ht="12.75" customHeight="1" x14ac:dyDescent="0.2">
      <c r="A144" s="657" t="s">
        <v>90</v>
      </c>
      <c r="B144" s="658"/>
      <c r="C144" s="695"/>
      <c r="D144" s="695"/>
      <c r="E144" s="695"/>
      <c r="F144" s="659"/>
      <c r="G144" s="659"/>
      <c r="H144" s="659"/>
      <c r="I144" s="659"/>
      <c r="J144" s="660"/>
      <c r="K144" s="348">
        <f>IF(D143="Non-UC",(IF(K143&gt;25000,25000,K143)),IF(D143="UC",0))</f>
        <v>0</v>
      </c>
      <c r="L144" s="348">
        <f>IF(D143="Non-UC",(IF(K144&gt;25000,0,IF(L143+K143&lt;25000,L143,25000-K144))),IF(D143="UC",0))</f>
        <v>0</v>
      </c>
      <c r="M144" s="348">
        <f>IF(D143="Non-UC",IF(L144+K144&gt;24999,0,IF(SUM(K143:M143)&lt;25000,M143,25000-K144-L144)),IF(D143="UC",0))</f>
        <v>0</v>
      </c>
      <c r="N144" s="348">
        <f>IF(D143="Non-UC",(IF(SUM(K144:M144)&gt;24999,0,IF(SUM(K143:N143)&lt;25000,N143,25000-K144-L144-M144))),IF(D143="UC",0))</f>
        <v>0</v>
      </c>
      <c r="O144" s="348">
        <f>IF(D143="Non-UC",(IF(SUM(K144:N144)&gt;24999,0,IF(SUM(K143:O143)&lt;25000,O143,25000-K144-L144-M144-N144))),IF(D143="UC",0))</f>
        <v>0</v>
      </c>
      <c r="P144" s="474">
        <f t="shared" si="10"/>
        <v>0</v>
      </c>
    </row>
    <row r="145" spans="1:16" ht="12.75" customHeight="1" x14ac:dyDescent="0.25">
      <c r="A145" s="654" t="s">
        <v>92</v>
      </c>
      <c r="B145" s="655"/>
      <c r="C145" s="254"/>
      <c r="D145" s="255"/>
      <c r="E145" s="255"/>
      <c r="F145" s="255"/>
      <c r="G145" s="255"/>
      <c r="H145" s="255"/>
      <c r="I145" s="255"/>
      <c r="J145" s="256"/>
      <c r="K145" s="277">
        <f>K129+K131+K133+K135+K137+K139+K141+K143</f>
        <v>0</v>
      </c>
      <c r="L145" s="277">
        <f>L129+L131+L133+L135+L137+L139+L141+L143</f>
        <v>0</v>
      </c>
      <c r="M145" s="277">
        <f>M129+M131+M133+M135+M137+M139+M141+M143</f>
        <v>0</v>
      </c>
      <c r="N145" s="277">
        <f>N129+N131+N133+N135+N137+N139+N141+N143</f>
        <v>0</v>
      </c>
      <c r="O145" s="277">
        <f>O129+O131+O133+O135+O137+O139+O141+O143</f>
        <v>0</v>
      </c>
      <c r="P145" s="278">
        <f t="shared" si="10"/>
        <v>0</v>
      </c>
    </row>
    <row r="146" spans="1:16" ht="12.75" customHeight="1" x14ac:dyDescent="0.2"/>
    <row r="147" spans="1:16" ht="12.75" customHeight="1" x14ac:dyDescent="0.25">
      <c r="A147" s="268" t="s">
        <v>272</v>
      </c>
      <c r="B147" s="265"/>
      <c r="C147" s="265"/>
      <c r="D147" s="265"/>
      <c r="E147" s="265"/>
      <c r="F147" s="265"/>
      <c r="G147" s="265"/>
      <c r="H147" s="265"/>
      <c r="I147" s="265"/>
      <c r="J147" s="265"/>
      <c r="K147" s="265"/>
      <c r="L147" s="265"/>
      <c r="M147" s="265"/>
      <c r="N147" s="265"/>
      <c r="O147" s="265"/>
      <c r="P147" s="269"/>
    </row>
    <row r="148" spans="1:16" ht="12.75" customHeight="1" x14ac:dyDescent="0.2">
      <c r="A148" s="176">
        <v>1</v>
      </c>
      <c r="B148" s="641"/>
      <c r="C148" s="642"/>
      <c r="D148" s="642"/>
      <c r="E148" s="642"/>
      <c r="F148" s="642"/>
      <c r="G148" s="642"/>
      <c r="H148" s="642"/>
      <c r="I148" s="642"/>
      <c r="J148" s="643"/>
      <c r="K148" s="215">
        <v>0</v>
      </c>
      <c r="L148" s="215">
        <v>0</v>
      </c>
      <c r="M148" s="215">
        <v>0</v>
      </c>
      <c r="N148" s="215">
        <v>0</v>
      </c>
      <c r="O148" s="215">
        <v>0</v>
      </c>
      <c r="P148" s="283">
        <f t="shared" ref="P148:P153" si="11">SUM(K148:O148)</f>
        <v>0</v>
      </c>
    </row>
    <row r="149" spans="1:16" ht="12.75" customHeight="1" x14ac:dyDescent="0.2">
      <c r="A149" s="176">
        <v>2</v>
      </c>
      <c r="B149" s="641"/>
      <c r="C149" s="642"/>
      <c r="D149" s="642"/>
      <c r="E149" s="642"/>
      <c r="F149" s="642"/>
      <c r="G149" s="642"/>
      <c r="H149" s="642"/>
      <c r="I149" s="642"/>
      <c r="J149" s="643"/>
      <c r="K149" s="215">
        <v>0</v>
      </c>
      <c r="L149" s="215">
        <v>0</v>
      </c>
      <c r="M149" s="215">
        <v>0</v>
      </c>
      <c r="N149" s="215">
        <v>0</v>
      </c>
      <c r="O149" s="215">
        <v>0</v>
      </c>
      <c r="P149" s="283">
        <f t="shared" si="11"/>
        <v>0</v>
      </c>
    </row>
    <row r="150" spans="1:16" ht="12.75" customHeight="1" x14ac:dyDescent="0.2">
      <c r="A150" s="176">
        <v>3</v>
      </c>
      <c r="B150" s="641"/>
      <c r="C150" s="642"/>
      <c r="D150" s="642"/>
      <c r="E150" s="642"/>
      <c r="F150" s="642"/>
      <c r="G150" s="642"/>
      <c r="H150" s="642"/>
      <c r="I150" s="642"/>
      <c r="J150" s="643"/>
      <c r="K150" s="215">
        <v>0</v>
      </c>
      <c r="L150" s="215">
        <v>0</v>
      </c>
      <c r="M150" s="215">
        <v>0</v>
      </c>
      <c r="N150" s="215">
        <v>0</v>
      </c>
      <c r="O150" s="215">
        <v>0</v>
      </c>
      <c r="P150" s="283">
        <f t="shared" si="11"/>
        <v>0</v>
      </c>
    </row>
    <row r="151" spans="1:16" ht="12.75" customHeight="1" x14ac:dyDescent="0.2">
      <c r="A151" s="176">
        <v>4</v>
      </c>
      <c r="B151" s="641"/>
      <c r="C151" s="642"/>
      <c r="D151" s="642"/>
      <c r="E151" s="642"/>
      <c r="F151" s="642"/>
      <c r="G151" s="642"/>
      <c r="H151" s="642"/>
      <c r="I151" s="642"/>
      <c r="J151" s="643"/>
      <c r="K151" s="215">
        <v>0</v>
      </c>
      <c r="L151" s="215">
        <v>0</v>
      </c>
      <c r="M151" s="215">
        <v>0</v>
      </c>
      <c r="N151" s="215">
        <v>0</v>
      </c>
      <c r="O151" s="215">
        <v>0</v>
      </c>
      <c r="P151" s="283">
        <f t="shared" si="11"/>
        <v>0</v>
      </c>
    </row>
    <row r="152" spans="1:16" ht="12.75" customHeight="1" x14ac:dyDescent="0.2">
      <c r="A152" s="176">
        <v>5</v>
      </c>
      <c r="B152" s="641"/>
      <c r="C152" s="642"/>
      <c r="D152" s="642"/>
      <c r="E152" s="642"/>
      <c r="F152" s="642"/>
      <c r="G152" s="642"/>
      <c r="H152" s="642"/>
      <c r="I152" s="642"/>
      <c r="J152" s="643"/>
      <c r="K152" s="215">
        <v>0</v>
      </c>
      <c r="L152" s="215">
        <v>0</v>
      </c>
      <c r="M152" s="215">
        <v>0</v>
      </c>
      <c r="N152" s="215">
        <v>0</v>
      </c>
      <c r="O152" s="215">
        <v>0</v>
      </c>
      <c r="P152" s="283">
        <f t="shared" si="11"/>
        <v>0</v>
      </c>
    </row>
    <row r="153" spans="1:16" ht="12.75" customHeight="1" x14ac:dyDescent="0.25">
      <c r="A153" s="654" t="s">
        <v>273</v>
      </c>
      <c r="B153" s="655"/>
      <c r="C153" s="463"/>
      <c r="D153" s="255"/>
      <c r="E153" s="255"/>
      <c r="F153" s="255"/>
      <c r="G153" s="255"/>
      <c r="H153" s="255"/>
      <c r="I153" s="255"/>
      <c r="J153" s="256"/>
      <c r="K153" s="277">
        <f>SUM(K148:K152)</f>
        <v>0</v>
      </c>
      <c r="L153" s="277">
        <f t="shared" ref="L153:O153" si="12">SUM(L148:L152)</f>
        <v>0</v>
      </c>
      <c r="M153" s="277">
        <f t="shared" si="12"/>
        <v>0</v>
      </c>
      <c r="N153" s="277">
        <f t="shared" si="12"/>
        <v>0</v>
      </c>
      <c r="O153" s="277">
        <f t="shared" si="12"/>
        <v>0</v>
      </c>
      <c r="P153" s="278">
        <f t="shared" si="11"/>
        <v>0</v>
      </c>
    </row>
    <row r="154" spans="1:16" ht="12.75" customHeight="1" x14ac:dyDescent="0.2"/>
    <row r="155" spans="1:16" ht="12.75" customHeight="1" x14ac:dyDescent="0.25">
      <c r="A155" s="268" t="s">
        <v>288</v>
      </c>
      <c r="B155" s="265"/>
      <c r="C155" s="265"/>
      <c r="D155" s="265"/>
      <c r="E155" s="265"/>
      <c r="F155" s="265"/>
      <c r="G155" s="265"/>
      <c r="H155" s="265"/>
      <c r="I155" s="265"/>
      <c r="J155" s="265"/>
      <c r="K155" s="265"/>
      <c r="L155" s="265"/>
      <c r="M155" s="265"/>
      <c r="N155" s="265"/>
      <c r="O155" s="265"/>
      <c r="P155" s="269"/>
    </row>
    <row r="156" spans="1:16" ht="12.75" customHeight="1" x14ac:dyDescent="0.2">
      <c r="A156" s="176">
        <v>1</v>
      </c>
      <c r="B156" s="641" t="s">
        <v>94</v>
      </c>
      <c r="C156" s="642"/>
      <c r="D156" s="642"/>
      <c r="E156" s="642"/>
      <c r="F156" s="642"/>
      <c r="G156" s="642"/>
      <c r="H156" s="642"/>
      <c r="I156" s="642"/>
      <c r="J156" s="643"/>
      <c r="K156" s="215">
        <v>0</v>
      </c>
      <c r="L156" s="215">
        <v>0</v>
      </c>
      <c r="M156" s="215">
        <v>0</v>
      </c>
      <c r="N156" s="215">
        <v>0</v>
      </c>
      <c r="O156" s="215">
        <v>0</v>
      </c>
      <c r="P156" s="283">
        <f t="shared" ref="P156:P165" si="13">SUM(K156:O156)</f>
        <v>0</v>
      </c>
    </row>
    <row r="157" spans="1:16" ht="12.75" customHeight="1" x14ac:dyDescent="0.2">
      <c r="A157" s="176">
        <v>2</v>
      </c>
      <c r="B157" s="641" t="s">
        <v>344</v>
      </c>
      <c r="C157" s="642"/>
      <c r="D157" s="642"/>
      <c r="E157" s="642"/>
      <c r="F157" s="642"/>
      <c r="G157" s="642"/>
      <c r="H157" s="642"/>
      <c r="I157" s="642"/>
      <c r="J157" s="643"/>
      <c r="K157" s="215">
        <v>0</v>
      </c>
      <c r="L157" s="215">
        <v>0</v>
      </c>
      <c r="M157" s="215">
        <v>0</v>
      </c>
      <c r="N157" s="215">
        <v>0</v>
      </c>
      <c r="O157" s="215">
        <v>0</v>
      </c>
      <c r="P157" s="283">
        <f t="shared" si="13"/>
        <v>0</v>
      </c>
    </row>
    <row r="158" spans="1:16" ht="12.75" customHeight="1" x14ac:dyDescent="0.2">
      <c r="A158" s="176">
        <v>3</v>
      </c>
      <c r="B158" s="216" t="s">
        <v>30</v>
      </c>
      <c r="K158" s="215">
        <v>0</v>
      </c>
      <c r="L158" s="215">
        <v>0</v>
      </c>
      <c r="M158" s="215">
        <v>0</v>
      </c>
      <c r="N158" s="215">
        <v>0</v>
      </c>
      <c r="O158" s="215">
        <v>0</v>
      </c>
      <c r="P158" s="283">
        <f t="shared" si="13"/>
        <v>0</v>
      </c>
    </row>
    <row r="159" spans="1:16" ht="12.75" customHeight="1" x14ac:dyDescent="0.2">
      <c r="A159" s="176">
        <v>4</v>
      </c>
      <c r="B159" s="641" t="s">
        <v>30</v>
      </c>
      <c r="C159" s="642" t="s">
        <v>30</v>
      </c>
      <c r="D159" s="642" t="s">
        <v>30</v>
      </c>
      <c r="E159" s="642" t="s">
        <v>30</v>
      </c>
      <c r="F159" s="642" t="s">
        <v>30</v>
      </c>
      <c r="G159" s="642" t="s">
        <v>30</v>
      </c>
      <c r="H159" s="642" t="s">
        <v>30</v>
      </c>
      <c r="I159" s="642" t="s">
        <v>30</v>
      </c>
      <c r="J159" s="643" t="s">
        <v>30</v>
      </c>
      <c r="K159" s="215">
        <v>0</v>
      </c>
      <c r="L159" s="215">
        <v>0</v>
      </c>
      <c r="M159" s="215">
        <v>0</v>
      </c>
      <c r="N159" s="215">
        <v>0</v>
      </c>
      <c r="O159" s="215">
        <v>0</v>
      </c>
      <c r="P159" s="283">
        <f t="shared" si="13"/>
        <v>0</v>
      </c>
    </row>
    <row r="160" spans="1:16" ht="12.75" hidden="1" customHeight="1" x14ac:dyDescent="0.2">
      <c r="A160" s="176">
        <v>5</v>
      </c>
      <c r="B160" s="641" t="s">
        <v>30</v>
      </c>
      <c r="C160" s="642" t="s">
        <v>30</v>
      </c>
      <c r="D160" s="642" t="s">
        <v>30</v>
      </c>
      <c r="E160" s="642" t="s">
        <v>30</v>
      </c>
      <c r="F160" s="642" t="s">
        <v>30</v>
      </c>
      <c r="G160" s="642" t="s">
        <v>30</v>
      </c>
      <c r="H160" s="642" t="s">
        <v>30</v>
      </c>
      <c r="I160" s="642" t="s">
        <v>30</v>
      </c>
      <c r="J160" s="643" t="s">
        <v>30</v>
      </c>
      <c r="K160" s="215">
        <v>0</v>
      </c>
      <c r="L160" s="215">
        <v>0</v>
      </c>
      <c r="M160" s="215">
        <v>0</v>
      </c>
      <c r="N160" s="215">
        <v>0</v>
      </c>
      <c r="O160" s="215">
        <v>0</v>
      </c>
      <c r="P160" s="283">
        <f t="shared" si="13"/>
        <v>0</v>
      </c>
    </row>
    <row r="161" spans="1:24" ht="12.75" hidden="1" customHeight="1" x14ac:dyDescent="0.2">
      <c r="A161" s="176">
        <v>6</v>
      </c>
      <c r="B161" s="641" t="s">
        <v>30</v>
      </c>
      <c r="C161" s="642" t="s">
        <v>30</v>
      </c>
      <c r="D161" s="642" t="s">
        <v>30</v>
      </c>
      <c r="E161" s="642" t="s">
        <v>30</v>
      </c>
      <c r="F161" s="642" t="s">
        <v>30</v>
      </c>
      <c r="G161" s="642" t="s">
        <v>30</v>
      </c>
      <c r="H161" s="642" t="s">
        <v>30</v>
      </c>
      <c r="I161" s="642" t="s">
        <v>30</v>
      </c>
      <c r="J161" s="643" t="s">
        <v>30</v>
      </c>
      <c r="K161" s="215">
        <v>0</v>
      </c>
      <c r="L161" s="215">
        <v>0</v>
      </c>
      <c r="M161" s="215">
        <v>0</v>
      </c>
      <c r="N161" s="215">
        <v>0</v>
      </c>
      <c r="O161" s="215">
        <v>0</v>
      </c>
      <c r="P161" s="283">
        <f t="shared" si="13"/>
        <v>0</v>
      </c>
    </row>
    <row r="162" spans="1:24" ht="12.75" hidden="1" customHeight="1" x14ac:dyDescent="0.2">
      <c r="A162" s="176">
        <v>7</v>
      </c>
      <c r="B162" s="641" t="s">
        <v>30</v>
      </c>
      <c r="C162" s="642" t="s">
        <v>30</v>
      </c>
      <c r="D162" s="642" t="s">
        <v>30</v>
      </c>
      <c r="E162" s="642" t="s">
        <v>30</v>
      </c>
      <c r="F162" s="642" t="s">
        <v>30</v>
      </c>
      <c r="G162" s="642" t="s">
        <v>30</v>
      </c>
      <c r="H162" s="642" t="s">
        <v>30</v>
      </c>
      <c r="I162" s="642" t="s">
        <v>30</v>
      </c>
      <c r="J162" s="643" t="s">
        <v>30</v>
      </c>
      <c r="K162" s="215">
        <v>0</v>
      </c>
      <c r="L162" s="215">
        <v>0</v>
      </c>
      <c r="M162" s="215">
        <v>0</v>
      </c>
      <c r="N162" s="215">
        <v>0</v>
      </c>
      <c r="O162" s="215">
        <v>0</v>
      </c>
      <c r="P162" s="283">
        <f t="shared" si="13"/>
        <v>0</v>
      </c>
    </row>
    <row r="163" spans="1:24" ht="12.75" hidden="1" customHeight="1" x14ac:dyDescent="0.2">
      <c r="A163" s="176">
        <v>8</v>
      </c>
      <c r="B163" s="641" t="s">
        <v>30</v>
      </c>
      <c r="C163" s="642" t="s">
        <v>30</v>
      </c>
      <c r="D163" s="642" t="s">
        <v>30</v>
      </c>
      <c r="E163" s="642" t="s">
        <v>30</v>
      </c>
      <c r="F163" s="642" t="s">
        <v>30</v>
      </c>
      <c r="G163" s="642" t="s">
        <v>30</v>
      </c>
      <c r="H163" s="642" t="s">
        <v>30</v>
      </c>
      <c r="I163" s="642" t="s">
        <v>30</v>
      </c>
      <c r="J163" s="643" t="s">
        <v>30</v>
      </c>
      <c r="K163" s="215">
        <v>0</v>
      </c>
      <c r="L163" s="215">
        <v>0</v>
      </c>
      <c r="M163" s="215">
        <v>0</v>
      </c>
      <c r="N163" s="215">
        <v>0</v>
      </c>
      <c r="O163" s="215">
        <v>0</v>
      </c>
      <c r="P163" s="283">
        <f t="shared" si="13"/>
        <v>0</v>
      </c>
    </row>
    <row r="164" spans="1:24" ht="12.75" hidden="1" customHeight="1" x14ac:dyDescent="0.2">
      <c r="A164" s="176">
        <v>9</v>
      </c>
      <c r="B164" s="641" t="s">
        <v>30</v>
      </c>
      <c r="C164" s="642" t="s">
        <v>30</v>
      </c>
      <c r="D164" s="642" t="s">
        <v>30</v>
      </c>
      <c r="E164" s="642" t="s">
        <v>30</v>
      </c>
      <c r="F164" s="642" t="s">
        <v>30</v>
      </c>
      <c r="G164" s="642" t="s">
        <v>30</v>
      </c>
      <c r="H164" s="642" t="s">
        <v>30</v>
      </c>
      <c r="I164" s="642" t="s">
        <v>30</v>
      </c>
      <c r="J164" s="643" t="s">
        <v>30</v>
      </c>
      <c r="K164" s="215">
        <v>0</v>
      </c>
      <c r="L164" s="215">
        <v>0</v>
      </c>
      <c r="M164" s="215">
        <v>0</v>
      </c>
      <c r="N164" s="215">
        <v>0</v>
      </c>
      <c r="O164" s="215">
        <v>0</v>
      </c>
      <c r="P164" s="283">
        <f t="shared" si="13"/>
        <v>0</v>
      </c>
      <c r="R164" s="276"/>
    </row>
    <row r="165" spans="1:24" ht="12.75" customHeight="1" x14ac:dyDescent="0.25">
      <c r="A165" s="654" t="s">
        <v>289</v>
      </c>
      <c r="B165" s="655"/>
      <c r="C165" s="463"/>
      <c r="D165" s="255"/>
      <c r="E165" s="255"/>
      <c r="F165" s="255"/>
      <c r="G165" s="255"/>
      <c r="H165" s="255"/>
      <c r="I165" s="255"/>
      <c r="J165" s="256"/>
      <c r="K165" s="277">
        <f>SUM(K156:K164)</f>
        <v>0</v>
      </c>
      <c r="L165" s="278">
        <f>SUM(L156:L164)</f>
        <v>0</v>
      </c>
      <c r="M165" s="278">
        <f>SUM(M156:M164)</f>
        <v>0</v>
      </c>
      <c r="N165" s="278">
        <f>SUM(N156:N164)</f>
        <v>0</v>
      </c>
      <c r="O165" s="278">
        <f>SUM(O156:O164)</f>
        <v>0</v>
      </c>
      <c r="P165" s="278">
        <f t="shared" si="13"/>
        <v>0</v>
      </c>
      <c r="R165" s="276"/>
      <c r="S165" s="276"/>
    </row>
    <row r="166" spans="1:24" ht="12.75" customHeight="1" x14ac:dyDescent="0.2">
      <c r="R166" s="276"/>
      <c r="S166" s="496"/>
    </row>
    <row r="167" spans="1:24" ht="12.75" customHeight="1" x14ac:dyDescent="0.25">
      <c r="A167" s="690" t="s">
        <v>97</v>
      </c>
      <c r="B167" s="680"/>
      <c r="C167" s="254"/>
      <c r="D167" s="255"/>
      <c r="E167" s="255"/>
      <c r="F167" s="255"/>
      <c r="G167" s="255"/>
      <c r="H167" s="255"/>
      <c r="I167" s="255"/>
      <c r="J167" s="256"/>
      <c r="K167" s="277">
        <f>ROUND(K31+K55+K63+K81+K82+K90+K108+K126+K145+K165+K153,0)</f>
        <v>0</v>
      </c>
      <c r="L167" s="277">
        <f>ROUND(IF($L$6=0,,L31+L55+L63+L81+L82+L90+L108+L126+L145+L165+L153),0)</f>
        <v>0</v>
      </c>
      <c r="M167" s="277">
        <f>ROUND(IF($M$6=0,,M31+M55+M63+M81+M82+M90+M108+M126+M145+M165+M153),0)</f>
        <v>0</v>
      </c>
      <c r="N167" s="277">
        <f>ROUND(IF($N$6=0,,N31+N55+N63+N81+N82+N90+N108+N126+N145+N165+N153),0)</f>
        <v>0</v>
      </c>
      <c r="O167" s="277">
        <f>ROUND(IF($O$6=0,,O31+O55+O63+O81+O82+O90+O108+O126+O145+O165+O153),0)</f>
        <v>0</v>
      </c>
      <c r="P167" s="278">
        <f>SUM(K167:O167)</f>
        <v>0</v>
      </c>
    </row>
    <row r="168" spans="1:24" ht="12.75" customHeight="1" x14ac:dyDescent="0.25">
      <c r="A168" s="279"/>
    </row>
    <row r="169" spans="1:24" ht="12.75" customHeight="1" x14ac:dyDescent="0.25">
      <c r="A169" s="647" t="s">
        <v>98</v>
      </c>
      <c r="B169" s="648"/>
      <c r="C169" s="280"/>
      <c r="D169" s="280"/>
      <c r="E169" s="280"/>
      <c r="F169" s="280"/>
      <c r="G169" s="280"/>
      <c r="H169" s="280"/>
      <c r="I169" s="280"/>
      <c r="J169" s="280"/>
      <c r="K169" s="280"/>
      <c r="L169" s="280"/>
      <c r="M169" s="280"/>
      <c r="N169" s="280"/>
      <c r="O169" s="280"/>
      <c r="P169" s="281"/>
      <c r="R169" s="151"/>
      <c r="S169" s="151"/>
      <c r="T169" s="151"/>
      <c r="U169" s="151"/>
      <c r="V169" s="151"/>
      <c r="W169" s="151"/>
    </row>
    <row r="170" spans="1:24" ht="12.75" customHeight="1" x14ac:dyDescent="0.2">
      <c r="B170" s="282" t="s">
        <v>99</v>
      </c>
      <c r="C170" s="694" t="s">
        <v>100</v>
      </c>
      <c r="D170" s="694"/>
      <c r="E170" s="694"/>
      <c r="F170" s="694"/>
      <c r="I170" s="773" t="s">
        <v>101</v>
      </c>
      <c r="J170" s="773"/>
      <c r="K170" s="283">
        <f>ROUND(IF(C171="MTDC",Worksheet!B94,IF(C171="Total Direct Cost",Worksheet!B95,IF(C171="Total Direct Excluding Subawards",Worksheet!B98,IF(C171="Salary and Fringe (CDFA-SCB)",Worksheet!B96,IF(C171="MTDC CDFA - Off Campus",Worksheet!B94,IF(C171="MTDC State of CA - Off Campus",Worksheet!B94,IF(C171="MTDC State of CA - On Campus",Worksheet!B94,IF(C171="Total Cost","",IF(C171="No Indirects Allowed",0,IF(C171="Other","Enter Formula",)))))))))),0)</f>
        <v>0</v>
      </c>
      <c r="L170" s="283">
        <f>ROUND(IF(C171="MTDC",Worksheet!C94,IF(C171="Total Direct Cost",Worksheet!C95,IF(C171="Total Direct Excluding Subawards",Worksheet!C98,IF(C171="Salary and Fringe (CDFA-SCB)",Worksheet!C96,IF(C171="MTDC CDFA - Off Campus",Worksheet!C94,IF(C171="MTDC State of CA - Off Campus",Worksheet!C94,IF(C171="MTDC State of CA - On Campus",Worksheet!C94,IF(C171="Total Cost","",IF(C171="No Indirects Allowed",0,IF(C171="Other","Enter Formula",)))))))))),0)</f>
        <v>0</v>
      </c>
      <c r="M170" s="283">
        <f>ROUND(IF(C171="MTDC",Worksheet!D94,IF(C171="Total Direct Cost",Worksheet!D95,IF(C171="Total Direct Excluding Subawards",Worksheet!D98,IF(C171="Salary and Fringe (CDFA-SCB)",Worksheet!D96,IF(C171="MTDC CDFA - Off Campus",Worksheet!D94,IF(C171="MTDC State of CA - Off Campus",Worksheet!D94,IF(C171="MTDC State of CA - On Campus",Worksheet!D94,IF(C171="Total Cost","",IF(C171="No Indirects Allowed",0,IF(C171="Other","Enter Formula",)))))))))),0)</f>
        <v>0</v>
      </c>
      <c r="N170" s="283">
        <f>ROUND(IF(C171="MTDC",Worksheet!E94,IF(C171="Total Direct Cost",Worksheet!E95,IF(C171="Total Direct Excluding Subawards",Worksheet!E98,IF(C171="Salary and Fringe (CDFA-SCB)",Worksheet!E96,IF(C171="MTDC CDFA - Off Campus",Worksheet!E94,IF(C171="MTDC State of CA - Off Campus",Worksheet!E94,IF(C171="MTDC State of CA - On Campus",Worksheet!E94,IF(C171="Total Cost","",IF(C171="No Indirects Allowed",0,IF(C171="Other","Enter Formula",)))))))))),0)</f>
        <v>0</v>
      </c>
      <c r="O170" s="283">
        <f>ROUND(IF(C171="MTDC",Worksheet!F94,IF(C171="Total Direct Cost",Worksheet!F95,IF(C171="Total Direct Excluding Subawards",Worksheet!F98,IF(C171="Salary and Fringe (CDFA-SCB)",Worksheet!F96,IF(C171="MTDC CDFA - Off Campus",Worksheet!F94,IF(C171="MTDC State of CA - Off Campus",Worksheet!F94,IF(C171="MTDC State of CA - On Campus",Worksheet!F94,IF(C171="Total Cost","",IF(C171="No Indirects Allowed",0,IF(C171="Other","Enter Formula",)))))))))),0)</f>
        <v>0</v>
      </c>
      <c r="P170" s="283">
        <f>SUM(K170:O170)</f>
        <v>0</v>
      </c>
      <c r="R170" s="520"/>
      <c r="S170" s="520"/>
      <c r="T170" s="520"/>
      <c r="U170" s="521"/>
      <c r="V170" s="522"/>
    </row>
    <row r="171" spans="1:24" ht="12.75" customHeight="1" x14ac:dyDescent="0.2">
      <c r="B171" s="284" t="s">
        <v>102</v>
      </c>
      <c r="C171" s="691" t="s">
        <v>111</v>
      </c>
      <c r="D171" s="692"/>
      <c r="E171" s="693"/>
      <c r="F171" s="486" t="str">
        <f>IF(C171="Total Cost","",IF(C171="Total Direct Cost","",IF(C171="Other","Enter Rate",IF(C171="Salary and Fringe (CDFA-SCB)","","Per 1"))))</f>
        <v>Per 1</v>
      </c>
      <c r="G171" s="486" t="str">
        <f>IF(C171="Total Cost","",IF(C171="Total Direct Cost","",IF(C171="Other","Enter Rate",IF(C171="Salary and Fringe (CDFA-SCB)","","Per 2"))))</f>
        <v>Per 2</v>
      </c>
      <c r="H171" s="486" t="str">
        <f>IF(C171="Total Cost","",IF(C171="Total Direct Cost","",IF(C171="Other","Enter Rate",IF(C171="Salary and Fringe (CDFA-SCB)","","Per 3"))))</f>
        <v>Per 3</v>
      </c>
      <c r="I171" s="486" t="str">
        <f>IF(C171="Total Cost","",IF(C171="Total Direct Cost","",IF(C171="Other","Enter Rate",IF(C171="Salary and Fringe (CDFA-SCB)","","Per 4"))))</f>
        <v>Per 4</v>
      </c>
      <c r="J171" s="487" t="str">
        <f>IF(C171="Total Cost","",IF(C171="Total Direct Cost","",IF(C171="Other","Enter Rate",IF(C171="Salary and Fringe (CDFA-SCB)","","Per 5"))))</f>
        <v>Per 5</v>
      </c>
      <c r="K171" s="285"/>
      <c r="L171" s="285"/>
      <c r="M171" s="285"/>
      <c r="N171" s="285"/>
      <c r="O171" s="285"/>
      <c r="P171" s="286"/>
      <c r="R171" s="520"/>
      <c r="S171" s="520"/>
      <c r="T171" s="520"/>
      <c r="U171" s="523"/>
      <c r="V171" s="522"/>
    </row>
    <row r="172" spans="1:24" ht="12.75" customHeight="1" x14ac:dyDescent="0.25">
      <c r="A172" s="654" t="s">
        <v>104</v>
      </c>
      <c r="B172" s="655"/>
      <c r="C172" s="254"/>
      <c r="D172" s="255"/>
      <c r="E172" s="255"/>
      <c r="F172" s="526">
        <f>IF(C171="MTDC CDFA - Off Campus",Worksheet!Y80,IF(C171="MTDC State of CA - Off Campus",0.25,IF(C171="MTDC State of CA - On Campus",Worksheet!Y79,IF(AND(C171="MTDC",C170="Research - Off Campus"),Worksheet!Y75,IF(AND(C171="MTDC",C170="Other Sponsored Activity - Off Campus"),Worksheet!Y76,IF(AND(C171="MTDC",C170="Research - On Campus"),Worksheet!Y77,IF(AND(C171="MTDC",C170="Other Sponsored Activity - On Campus"),Worksheet!Y78,IF(C171="No Indirects Allowed",0,""))))))))</f>
        <v>0.26</v>
      </c>
      <c r="G172" s="527">
        <f>IF(C171="MTDC CDFA - Off Campus",Worksheet!Z80,IF(C171="MTDC State of CA - Off Campus",0.25,IF(C171="MTDC State of CA - On Campus",Worksheet!Z79,IF(AND(C171="MTDC",C170="Research - Off Campus"),Worksheet!Z75,IF(AND(C171="MTDC",C170="Other Sponsored Activity - Off Campus"),Worksheet!Z76,IF(AND(C171="MTDC",C170="Research - On Campus"),Worksheet!Z77,IF(AND(C171="MTDC",C170="Other Sponsored Activity - On Campus"),Worksheet!Z78,IF(C171="No Indirects Allowed",0,""))))))))</f>
        <v>0.26</v>
      </c>
      <c r="H172" s="526">
        <f>IF(C171="MTDC CDFA - Off Campus",Worksheet!AA80,IF(C171="MTDC State of CA - Off Campus",0.25,IF(C171="MTDC State of CA - On Campus",Worksheet!AA79,IF(AND(C171="MTDC",C170="Research - Off Campus"),Worksheet!AA75,IF(AND(C171="MTDC",C170="Other Sponsored Activity - Off Campus"),Worksheet!AA76,IF(AND(C171="MTDC",C170="Research - On Campus"),Worksheet!AA77,IF(AND(C171="MTDC",C170="Other Sponsored Activity - On Campus"),Worksheet!AA78,IF(C171="No Indirects Allowed",0,""))))))))</f>
        <v>0.26</v>
      </c>
      <c r="I172" s="526">
        <f>IF(C171="MTDC CDFA - Off Campus",Worksheet!AB80,IF(C171="MTDC State of CA - Off Campus",0.25,IF(C171="MTDC State of CA - On Campus",Worksheet!AB79,IF(AND(C171="MTDC",C170="Research - Off Campus"),Worksheet!AB75,IF(AND(C171="MTDC",C170="Other Sponsored Activity - Off Campus"),Worksheet!AB76,IF(AND(C171="MTDC",C170="Research - On Campus"),Worksheet!AB77,IF(AND(C171="MTDC",C170="Other Sponsored Activity - On Campus"),Worksheet!AB78,IF(C171="No Indirects Allowed",0,""))))))))</f>
        <v>0.26</v>
      </c>
      <c r="J172" s="526">
        <f>IF(C171="MTDC CDFA - Off Campus",Worksheet!AC80,IF(C171="MTDC State of CA - Off Campus",0.25,IF(C171="MTDC State of CA - On Campus",Worksheet!AC79,IF(AND(C171="MTDC",C170="Research - Off Campus"),Worksheet!AC75,IF(AND(C171="MTDC",C170="Other Sponsored Activity - Off Campus"),Worksheet!AC76,IF(AND(C171="MTDC",C170="Research - On Campus"),Worksheet!AC77,IF(AND(C171="MTDC",C170="Other Sponsored Activity - On Campus"),Worksheet!AC78,IF(C171="No Indirects Allowed",0,""))))))))</f>
        <v>0.26</v>
      </c>
      <c r="K172" s="278">
        <f>ROUND(IF(C171="Total Cost",0,IF(C171="Total Direct Cost",0,IF(C171="Total Direct Excluding Subawards",0,IF(C171="Other",0,IF(C171="Salary and Fringe (CDFA-SCB)",0,(K170*(((F172*Worksheet!$B$6)+(G172*Worksheet!$B$7))/Worksheet!$B$5))))))),0)</f>
        <v>0</v>
      </c>
      <c r="L172" s="278">
        <f>ROUND(IF(L6=0,0,(IF(C171="Total Cost",0,IF(C171="Total Direct Cost",0,IF(C171="Total Direct Excluding Subawards",0,IF(C171="Other",0,IF(C171="Salary and Fringe (CDFA-SCB)",0,(L170*(((G172*Worksheet!$C$6)+(H172*Worksheet!$C$7))/Worksheet!$C$5))))))))),0)</f>
        <v>0</v>
      </c>
      <c r="M172" s="278">
        <f>ROUND(IF(M6=0,0,(IF(C171="Total Cost",0,IF(C171="Total Direct Cost",0,IF(C171="Total Direct Excluding Subawards",0,IF(C171="Other",0,IF(C171="Salary and Fringe (CDFA-SCB)",0,(M170*(((H172*Worksheet!$D$6)+(I172*Worksheet!$D$7))/Worksheet!$D$5))))))))),0)</f>
        <v>0</v>
      </c>
      <c r="N172" s="278">
        <f>ROUND(IF(N6=0,0,(IF(C171="Total Cost",0,IF(C171="Total Direct Cost",0,IF(C171="Total Direct Excluding Subawards",0,IF(C171="Other",0,IF(C171="Salary and Fringe (CDFA-SCB)",0,(N170*(((I172*Worksheet!$E$6)+(J172*Worksheet!$E$7))/Worksheet!$E$5))))))))),0)</f>
        <v>0</v>
      </c>
      <c r="O172" s="278">
        <f>ROUND(IF(O6=0,0,(IF(C171="Total Cost",0,IF(C171="Total Direct Cost",0,IF(C171="Total Direct Excluding Subawards",0,IF(C171="Other",0,IF(C171="Salary and Fringe (CDFA-SCB)",0,(O170*J172)))))))),0)</f>
        <v>0</v>
      </c>
      <c r="P172" s="278">
        <f>SUM(K172:O172)</f>
        <v>0</v>
      </c>
      <c r="R172" s="459"/>
      <c r="S172" s="459"/>
      <c r="T172" s="459"/>
      <c r="U172" s="459"/>
      <c r="V172" s="459"/>
      <c r="W172" s="459"/>
    </row>
    <row r="173" spans="1:24" ht="12.75" customHeight="1" x14ac:dyDescent="0.2">
      <c r="A173" s="686" t="str">
        <f>IF(J173="","",IF(C171="Total Cost","TDC Equivalent Rate:", ""))</f>
        <v/>
      </c>
      <c r="B173" s="686"/>
      <c r="C173" s="686"/>
      <c r="D173" s="686"/>
      <c r="E173" s="686"/>
      <c r="F173" s="685" t="str">
        <f>IF(J173="","",IF(C171="Total Cost",Worksheet!H106, ""))</f>
        <v/>
      </c>
      <c r="G173" s="685"/>
      <c r="H173" s="684" t="str">
        <f>IF(C171="Total Cost","Enter TC Rate:",IF(C171="Total Direct Cost","Enter Rate:",IF(C171="Total Direct Excluding Subawards","Enter Rate:",IF(C171="Other","Enter Rate:",IF(C171="Salary and Fringe (CDFA-SCB)","Enter Rate:","")))))</f>
        <v/>
      </c>
      <c r="I173" s="684"/>
      <c r="J173" s="287"/>
      <c r="K173" s="277">
        <f>ROUND(IF($C$171="MTDC",0,IF($C$171="MTDC CDFA - Off Campus",0,IF($C$171="MTDC State of CA - Off Campus",0,IF($C$171="MTDC State of CA - On Campus",0,IF($J$173=0,0,IF($C$171="Total Cost",(Worksheet!B95*$F$173),(K170*$J$173))))))),0)</f>
        <v>0</v>
      </c>
      <c r="L173" s="277">
        <f>ROUND(IF($C$171="MTDC",0,IF($C$171="MTDC CDFA - Off Campus",0,IF($C$171="MTDC State of CA - Off Campus",0,IF($C$171="MTDC State of CA - On Campus",0,IF($J$173=0,0,IF($J$173=0,0,IF($C$171="Total Cost",(Worksheet!C95*$F$173),(L170*$J$173)))))))),0)</f>
        <v>0</v>
      </c>
      <c r="M173" s="277">
        <f>ROUND(IF($C$171="MTDC",0,IF($C$171="MTDC CDFA - Off Campus",0,IF($C$171="MTDC State of CA - Off Campus",0,IF($C$171="MTDC State of CA - On Campus",0,IF($J$173=0,0,IF($C$171="Total Cost",(Worksheet!D95*$F$173),(M170*$J$173))))))),0)</f>
        <v>0</v>
      </c>
      <c r="N173" s="277">
        <f>ROUND(IF($C$171="MTDC",0,IF($C$171="MTDC CDFA - Off Campus",0,IF($C$171="MTDC State of CA - Off Campus",0,IF($C$171="MTDC State of CA - On Campus",0,IF($J$173=0,0,IF($J$173=0,0,IF($C$171="Total Cost",(Worksheet!E95*$F$173),(N170*$J$173)))))))),0)</f>
        <v>0</v>
      </c>
      <c r="O173" s="277">
        <f>ROUND(IF($C$171="MTDC",0,IF($C$171="MTDC CDFA - Off Campus",0,IF($C$171="MTDC State of CA - Off Campus",0,IF($C$171="MTDC State of CA - On Campus",0,IF($J$173=0,0,IF($J$173=0,0,IF($C$171="Total Cost",(Worksheet!F95*$F$173),(O170*$J$173)))))))),0)</f>
        <v>0</v>
      </c>
      <c r="P173" s="278">
        <f>SUM(K173:O173)</f>
        <v>0</v>
      </c>
      <c r="R173" s="459"/>
      <c r="S173" s="459"/>
      <c r="T173" s="459"/>
      <c r="U173" s="459"/>
      <c r="V173" s="459"/>
      <c r="W173" s="459"/>
      <c r="X173" s="150"/>
    </row>
    <row r="174" spans="1:24" ht="12.75" customHeight="1" x14ac:dyDescent="0.2">
      <c r="J174" s="288"/>
      <c r="R174" s="459"/>
      <c r="S174" s="459"/>
      <c r="T174" s="459"/>
      <c r="U174" s="459"/>
      <c r="V174" s="459"/>
      <c r="W174" s="459"/>
      <c r="X174" s="150"/>
    </row>
    <row r="175" spans="1:24" ht="12.75" customHeight="1" x14ac:dyDescent="0.25">
      <c r="A175" s="690" t="s">
        <v>105</v>
      </c>
      <c r="B175" s="680"/>
      <c r="C175" s="254"/>
      <c r="D175" s="255"/>
      <c r="E175" s="255"/>
      <c r="F175" s="255"/>
      <c r="G175" s="255"/>
      <c r="H175" s="255"/>
      <c r="I175" s="255"/>
      <c r="J175" s="256"/>
      <c r="K175" s="277">
        <f>IF(C171="Total Cost",(K167+K173),IF(C171="Total Direct Cost",(K167+K173),IF($C$171="Total Direct Excluding Subawards",(K167+K173),IF(C171="Other",(K167+K173),IF(C171="Salary and Fringe (CDFA-SCB)",(K167+K173),(K167+K172))))))</f>
        <v>0</v>
      </c>
      <c r="L175" s="277">
        <f>IF(L6=0,"",(IF(C171="Total Cost",(L167+L173),IF(C171="Total Direct Cost",(L167+L173),IF($C$171="Total Direct Excluding Subawards",(L167+L173),IF(C171="Other",(L167+L173),IF(C171="Salary and Fringe (CDFA-SCB)",(L167+L173),(L167+L172))))))))</f>
        <v>0</v>
      </c>
      <c r="M175" s="277">
        <f>IF(M6=0,"",(IF(C171="Total Cost",(M167+M173),IF(C171="Total Direct Cost",(M167+M173),IF($C$171="Total Direct Excluding Subawards",(M167+M173),IF(C171="Other",(M167+M173),IF(C171="Salary and Fringe (CDFA-SCB)",(M167+M173),(M167+M172))))))))</f>
        <v>0</v>
      </c>
      <c r="N175" s="277">
        <f>IF(N6=0,"",(IF(C171="Total Cost",(N167+N173),IF(C171="Total Direct Cost",(N167+N173),IF($C$171="Total Direct Excluding Subawards",(N167+N173),IF(C171="Other",(N167+N173),IF(C171="Salary and Fringe (CDFA-SCB)",(N167+N173),(N167+N172))))))))</f>
        <v>0</v>
      </c>
      <c r="O175" s="277">
        <f>IF(O6=0,"",(IF(C171="Total Cost",(O167+O173),IF(C171="Total Direct Cost",(O167+O173),IF($C$171="Total Direct Excluding Subawards",(O167+O173),IF(C171="Other",(O167+O173),IF(C171="Salary and Fringe (CDFA-SCB)",(O167+O173),(O167+O172))))))))</f>
        <v>0</v>
      </c>
      <c r="P175" s="278">
        <f>SUM(K175:O175)</f>
        <v>0</v>
      </c>
      <c r="R175" s="524"/>
      <c r="S175" s="524"/>
      <c r="T175" s="524"/>
      <c r="U175" s="524"/>
      <c r="V175" s="524"/>
      <c r="W175" s="524"/>
      <c r="X175" s="150"/>
    </row>
    <row r="176" spans="1:24" ht="12.75" customHeight="1" x14ac:dyDescent="0.2">
      <c r="F176" s="777" t="s">
        <v>106</v>
      </c>
      <c r="G176" s="777"/>
      <c r="H176" s="777"/>
      <c r="I176" s="777"/>
      <c r="J176" s="777"/>
      <c r="K176" s="777"/>
      <c r="L176" s="777"/>
      <c r="M176" s="777"/>
      <c r="N176" s="777"/>
      <c r="O176" s="778"/>
      <c r="P176" s="289"/>
      <c r="R176" s="524"/>
      <c r="S176" s="524"/>
      <c r="T176" s="524"/>
      <c r="U176" s="524"/>
      <c r="V176" s="524"/>
      <c r="W176" s="524"/>
    </row>
    <row r="177" spans="1:23" ht="12.75" customHeight="1" x14ac:dyDescent="0.2">
      <c r="F177" s="770" t="s">
        <v>107</v>
      </c>
      <c r="G177" s="770"/>
      <c r="H177" s="770"/>
      <c r="I177" s="770"/>
      <c r="J177" s="770"/>
      <c r="K177" s="770"/>
      <c r="L177" s="770"/>
      <c r="M177" s="770"/>
      <c r="N177" s="770"/>
      <c r="O177" s="771"/>
      <c r="P177" s="485">
        <f>IF(P176="",0,(P175-P176))</f>
        <v>0</v>
      </c>
      <c r="R177" s="155"/>
      <c r="S177" s="152"/>
      <c r="T177" s="152"/>
      <c r="U177" s="152"/>
      <c r="V177" s="152"/>
      <c r="W177" s="152"/>
    </row>
    <row r="178" spans="1:23" ht="12.75" customHeight="1" x14ac:dyDescent="0.2">
      <c r="K178" s="97"/>
      <c r="L178" s="97"/>
      <c r="M178" s="97"/>
      <c r="N178" s="97"/>
      <c r="O178" s="97"/>
      <c r="P178" s="497"/>
      <c r="R178" s="155"/>
      <c r="S178" s="152"/>
      <c r="T178" s="152"/>
      <c r="U178" s="152"/>
      <c r="V178" s="152"/>
      <c r="W178" s="152"/>
    </row>
    <row r="179" spans="1:23" ht="12.75" customHeight="1" x14ac:dyDescent="0.2">
      <c r="K179" s="97"/>
      <c r="L179" s="97"/>
      <c r="M179" s="97"/>
      <c r="N179" s="97"/>
      <c r="O179" s="97"/>
      <c r="P179" s="497"/>
      <c r="R179" s="155"/>
      <c r="S179" s="152"/>
      <c r="T179" s="152"/>
      <c r="U179" s="152"/>
      <c r="V179" s="152"/>
      <c r="W179" s="152"/>
    </row>
    <row r="180" spans="1:23" ht="12.75" customHeight="1" x14ac:dyDescent="0.2">
      <c r="K180" s="97"/>
      <c r="L180" s="97"/>
      <c r="M180" s="97"/>
      <c r="N180" s="97"/>
      <c r="O180" s="97"/>
      <c r="P180" s="497"/>
      <c r="R180" s="155"/>
      <c r="S180" s="152"/>
      <c r="T180" s="152"/>
      <c r="U180" s="152"/>
      <c r="V180" s="152"/>
      <c r="W180" s="152"/>
    </row>
    <row r="181" spans="1:23" ht="12.75" customHeight="1" thickBot="1" x14ac:dyDescent="0.25"/>
    <row r="182" spans="1:23" ht="12.75" customHeight="1" thickBot="1" x14ac:dyDescent="0.3">
      <c r="A182" s="687" t="s">
        <v>222</v>
      </c>
      <c r="B182" s="688"/>
      <c r="C182" s="688"/>
      <c r="D182" s="688"/>
      <c r="E182" s="688"/>
      <c r="F182" s="688"/>
      <c r="G182" s="688"/>
      <c r="H182" s="688"/>
      <c r="I182" s="688"/>
      <c r="J182" s="688"/>
      <c r="K182" s="688"/>
      <c r="L182" s="688"/>
      <c r="M182" s="688"/>
      <c r="N182" s="688"/>
      <c r="O182" s="688"/>
      <c r="P182" s="689"/>
    </row>
    <row r="183" spans="1:23" ht="12.75" customHeight="1" x14ac:dyDescent="0.2">
      <c r="A183" s="675" t="s">
        <v>293</v>
      </c>
      <c r="B183" s="676"/>
      <c r="C183" s="676"/>
      <c r="D183" s="676"/>
      <c r="E183" s="676"/>
      <c r="F183" s="676"/>
      <c r="G183" s="676"/>
      <c r="H183" s="676"/>
      <c r="I183" s="676"/>
      <c r="J183" s="676"/>
      <c r="K183" s="342">
        <f>'Cost Share'!K131</f>
        <v>0</v>
      </c>
      <c r="L183" s="342">
        <f>'Cost Share'!L131</f>
        <v>0</v>
      </c>
      <c r="M183" s="342">
        <f>'Cost Share'!M131</f>
        <v>0</v>
      </c>
      <c r="N183" s="342">
        <f>'Cost Share'!N131</f>
        <v>0</v>
      </c>
      <c r="O183" s="342">
        <f>'Cost Share'!O131</f>
        <v>0</v>
      </c>
      <c r="P183" s="343">
        <f>'Cost Share'!P131</f>
        <v>0</v>
      </c>
    </row>
    <row r="184" spans="1:23" ht="12.75" customHeight="1" x14ac:dyDescent="0.2">
      <c r="A184" s="677" t="s">
        <v>292</v>
      </c>
      <c r="B184" s="678"/>
      <c r="C184" s="678"/>
      <c r="D184" s="678"/>
      <c r="E184" s="678"/>
      <c r="F184" s="678"/>
      <c r="G184" s="674" t="s">
        <v>177</v>
      </c>
      <c r="H184" s="674"/>
      <c r="I184" s="674"/>
      <c r="J184" s="674"/>
      <c r="K184" s="340">
        <f>'Cost Share'!K136</f>
        <v>0</v>
      </c>
      <c r="L184" s="340">
        <f>'Cost Share'!L136</f>
        <v>0</v>
      </c>
      <c r="M184" s="340">
        <f>'Cost Share'!M136</f>
        <v>0</v>
      </c>
      <c r="N184" s="340">
        <f>'Cost Share'!N136</f>
        <v>0</v>
      </c>
      <c r="O184" s="340">
        <f>'Cost Share'!O136</f>
        <v>0</v>
      </c>
      <c r="P184" s="344">
        <f>'Cost Share'!P136</f>
        <v>0</v>
      </c>
      <c r="S184" s="276"/>
    </row>
    <row r="185" spans="1:23" ht="12.75" customHeight="1" x14ac:dyDescent="0.2">
      <c r="A185" s="677" t="s">
        <v>189</v>
      </c>
      <c r="B185" s="678"/>
      <c r="C185" s="678"/>
      <c r="D185" s="678"/>
      <c r="E185" s="678"/>
      <c r="F185" s="678"/>
      <c r="G185" s="674" t="s">
        <v>177</v>
      </c>
      <c r="H185" s="674"/>
      <c r="I185" s="674"/>
      <c r="J185" s="674"/>
      <c r="K185" s="340">
        <f>'Cost Share'!K137</f>
        <v>0</v>
      </c>
      <c r="L185" s="340">
        <f>'Cost Share'!L137</f>
        <v>0</v>
      </c>
      <c r="M185" s="340">
        <f>'Cost Share'!M137</f>
        <v>0</v>
      </c>
      <c r="N185" s="340">
        <f>'Cost Share'!N137</f>
        <v>0</v>
      </c>
      <c r="O185" s="340">
        <f>'Cost Share'!O137</f>
        <v>0</v>
      </c>
      <c r="P185" s="344">
        <f>'Cost Share'!P137</f>
        <v>0</v>
      </c>
      <c r="R185" s="635"/>
      <c r="S185" s="496"/>
      <c r="T185" s="495"/>
      <c r="U185" s="495"/>
      <c r="V185" s="495"/>
    </row>
    <row r="186" spans="1:23" ht="12.75" customHeight="1" x14ac:dyDescent="0.25">
      <c r="A186" s="679" t="s">
        <v>112</v>
      </c>
      <c r="B186" s="680"/>
      <c r="C186" s="680"/>
      <c r="D186" s="680"/>
      <c r="E186" s="680"/>
      <c r="F186" s="680"/>
      <c r="G186" s="680"/>
      <c r="H186" s="680"/>
      <c r="I186" s="680"/>
      <c r="J186" s="681"/>
      <c r="K186" s="327">
        <f>'Cost Share'!K138</f>
        <v>0</v>
      </c>
      <c r="L186" s="327">
        <f>'Cost Share'!L138</f>
        <v>0</v>
      </c>
      <c r="M186" s="327">
        <f>'Cost Share'!M138</f>
        <v>0</v>
      </c>
      <c r="N186" s="327">
        <f>'Cost Share'!N138</f>
        <v>0</v>
      </c>
      <c r="O186" s="327">
        <f>'Cost Share'!O138</f>
        <v>0</v>
      </c>
      <c r="P186" s="345">
        <f>'Cost Share'!P138</f>
        <v>0</v>
      </c>
      <c r="R186" s="496"/>
      <c r="S186" s="496"/>
      <c r="T186" s="496"/>
      <c r="U186" s="496"/>
      <c r="V186" s="496"/>
    </row>
    <row r="187" spans="1:23" ht="12.75" customHeight="1" x14ac:dyDescent="0.25">
      <c r="A187" s="679" t="s">
        <v>113</v>
      </c>
      <c r="B187" s="680"/>
      <c r="C187" s="680"/>
      <c r="D187" s="680"/>
      <c r="E187" s="680"/>
      <c r="F187" s="680"/>
      <c r="G187" s="680"/>
      <c r="H187" s="680"/>
      <c r="I187" s="680"/>
      <c r="J187" s="681"/>
      <c r="K187" s="327">
        <f>'Cost Share'!K155</f>
        <v>0</v>
      </c>
      <c r="L187" s="327">
        <f>'Cost Share'!L155</f>
        <v>0</v>
      </c>
      <c r="M187" s="327">
        <f>'Cost Share'!M155</f>
        <v>0</v>
      </c>
      <c r="N187" s="327">
        <f>'Cost Share'!N155</f>
        <v>0</v>
      </c>
      <c r="O187" s="327">
        <f>'Cost Share'!O155</f>
        <v>0</v>
      </c>
      <c r="P187" s="345">
        <f>'Cost Share'!P155</f>
        <v>0</v>
      </c>
    </row>
    <row r="188" spans="1:23" ht="12.75" customHeight="1" x14ac:dyDescent="0.2">
      <c r="A188" s="303"/>
      <c r="B188" s="236"/>
      <c r="P188" s="304"/>
    </row>
    <row r="189" spans="1:23" ht="12.75" customHeight="1" x14ac:dyDescent="0.25">
      <c r="A189" s="682" t="s">
        <v>116</v>
      </c>
      <c r="B189" s="683"/>
      <c r="C189" s="683"/>
      <c r="D189" s="683"/>
      <c r="E189" s="683"/>
      <c r="F189" s="683"/>
      <c r="G189" s="683"/>
      <c r="H189" s="683"/>
      <c r="I189" s="683"/>
      <c r="J189" s="683"/>
      <c r="K189" s="327">
        <f>'Cost Share'!K157</f>
        <v>0</v>
      </c>
      <c r="L189" s="327">
        <f>'Cost Share'!L157</f>
        <v>0</v>
      </c>
      <c r="M189" s="327">
        <f>'Cost Share'!M157</f>
        <v>0</v>
      </c>
      <c r="N189" s="327">
        <f>'Cost Share'!N157</f>
        <v>0</v>
      </c>
      <c r="O189" s="327">
        <f>'Cost Share'!O157</f>
        <v>0</v>
      </c>
      <c r="P189" s="345">
        <f>'Cost Share'!P157</f>
        <v>0</v>
      </c>
      <c r="Q189" s="637"/>
    </row>
    <row r="190" spans="1:23" ht="12.75" customHeight="1" thickBot="1" x14ac:dyDescent="0.25">
      <c r="A190" s="671" t="s">
        <v>223</v>
      </c>
      <c r="B190" s="672"/>
      <c r="C190" s="672"/>
      <c r="D190" s="672"/>
      <c r="E190" s="672"/>
      <c r="F190" s="672"/>
      <c r="G190" s="673" t="s">
        <v>118</v>
      </c>
      <c r="H190" s="673"/>
      <c r="I190" s="673"/>
      <c r="J190" s="673"/>
      <c r="K190" s="346">
        <f>'Cost Share'!K158</f>
        <v>0</v>
      </c>
      <c r="L190" s="346">
        <f>'Cost Share'!L158</f>
        <v>0</v>
      </c>
      <c r="M190" s="346">
        <f>'Cost Share'!M158</f>
        <v>0</v>
      </c>
      <c r="N190" s="346">
        <f>'Cost Share'!N158</f>
        <v>0</v>
      </c>
      <c r="O190" s="346">
        <f>'Cost Share'!O158</f>
        <v>0</v>
      </c>
      <c r="P190" s="347">
        <f>'Cost Share'!P158</f>
        <v>0</v>
      </c>
      <c r="Q190" s="636"/>
      <c r="R190" s="633"/>
    </row>
    <row r="191" spans="1:23" ht="12.75" customHeight="1" x14ac:dyDescent="0.2">
      <c r="Q191" s="634"/>
      <c r="R191" s="633"/>
    </row>
    <row r="334" ht="12.75" customHeight="1" x14ac:dyDescent="0.2"/>
    <row r="335" ht="12.75" customHeight="1" x14ac:dyDescent="0.2"/>
  </sheetData>
  <sheetProtection sheet="1" formatColumns="0" formatRows="0"/>
  <mergeCells count="154">
    <mergeCell ref="C3:H3"/>
    <mergeCell ref="B66:I66"/>
    <mergeCell ref="B67:I67"/>
    <mergeCell ref="B68:I68"/>
    <mergeCell ref="R111:W111"/>
    <mergeCell ref="B112:J112"/>
    <mergeCell ref="B115:J115"/>
    <mergeCell ref="C2:L2"/>
    <mergeCell ref="F176:O176"/>
    <mergeCell ref="E6:J6"/>
    <mergeCell ref="C5:H5"/>
    <mergeCell ref="C4:H4"/>
    <mergeCell ref="I7:J7"/>
    <mergeCell ref="D7:E7"/>
    <mergeCell ref="B94:J94"/>
    <mergeCell ref="B95:J95"/>
    <mergeCell ref="A108:B108"/>
    <mergeCell ref="D128:E128"/>
    <mergeCell ref="A145:B145"/>
    <mergeCell ref="B163:J163"/>
    <mergeCell ref="B164:J164"/>
    <mergeCell ref="B69:I69"/>
    <mergeCell ref="B70:I70"/>
    <mergeCell ref="B137:C137"/>
    <mergeCell ref="B139:C139"/>
    <mergeCell ref="B141:C141"/>
    <mergeCell ref="A175:B175"/>
    <mergeCell ref="B79:I79"/>
    <mergeCell ref="B80:I80"/>
    <mergeCell ref="A81:B81"/>
    <mergeCell ref="A82:B82"/>
    <mergeCell ref="A83:B83"/>
    <mergeCell ref="B143:C143"/>
    <mergeCell ref="A142:J142"/>
    <mergeCell ref="I170:J170"/>
    <mergeCell ref="D129:E129"/>
    <mergeCell ref="D131:E131"/>
    <mergeCell ref="B96:J96"/>
    <mergeCell ref="B97:J97"/>
    <mergeCell ref="B93:J93"/>
    <mergeCell ref="A85:P85"/>
    <mergeCell ref="B86:J86"/>
    <mergeCell ref="B87:J87"/>
    <mergeCell ref="A90:B90"/>
    <mergeCell ref="B75:I75"/>
    <mergeCell ref="S39:W40"/>
    <mergeCell ref="R39:R40"/>
    <mergeCell ref="S33:W33"/>
    <mergeCell ref="R13:W13"/>
    <mergeCell ref="R15:T15"/>
    <mergeCell ref="T9:U9"/>
    <mergeCell ref="V9:W9"/>
    <mergeCell ref="D33:H33"/>
    <mergeCell ref="R64:S64"/>
    <mergeCell ref="R9:S9"/>
    <mergeCell ref="I9:J10"/>
    <mergeCell ref="D9:H9"/>
    <mergeCell ref="O9:O10"/>
    <mergeCell ref="K9:K10"/>
    <mergeCell ref="L9:L10"/>
    <mergeCell ref="S35:W36"/>
    <mergeCell ref="M9:M10"/>
    <mergeCell ref="N9:N10"/>
    <mergeCell ref="R5:W6"/>
    <mergeCell ref="B71:I71"/>
    <mergeCell ref="A31:B31"/>
    <mergeCell ref="R35:R36"/>
    <mergeCell ref="S37:W38"/>
    <mergeCell ref="R37:R38"/>
    <mergeCell ref="S42:W42"/>
    <mergeCell ref="S43:W43"/>
    <mergeCell ref="S44:W44"/>
    <mergeCell ref="P9:P10"/>
    <mergeCell ref="R17:S17"/>
    <mergeCell ref="R18:T18"/>
    <mergeCell ref="R16:V16"/>
    <mergeCell ref="C9:C10"/>
    <mergeCell ref="B9:B10"/>
    <mergeCell ref="A55:B55"/>
    <mergeCell ref="A56:B56"/>
    <mergeCell ref="B62:J62"/>
    <mergeCell ref="A58:P58"/>
    <mergeCell ref="B59:J59"/>
    <mergeCell ref="B60:J60"/>
    <mergeCell ref="B61:J61"/>
    <mergeCell ref="A65:I65"/>
    <mergeCell ref="R8:W8"/>
    <mergeCell ref="A182:P182"/>
    <mergeCell ref="A167:B167"/>
    <mergeCell ref="D139:E139"/>
    <mergeCell ref="D141:E141"/>
    <mergeCell ref="C171:E171"/>
    <mergeCell ref="A169:B169"/>
    <mergeCell ref="C170:F170"/>
    <mergeCell ref="B156:J156"/>
    <mergeCell ref="B157:J157"/>
    <mergeCell ref="B159:J159"/>
    <mergeCell ref="B160:J160"/>
    <mergeCell ref="B161:J161"/>
    <mergeCell ref="B162:J162"/>
    <mergeCell ref="A144:J144"/>
    <mergeCell ref="D143:E143"/>
    <mergeCell ref="A140:J140"/>
    <mergeCell ref="F177:O177"/>
    <mergeCell ref="A153:B153"/>
    <mergeCell ref="A165:B165"/>
    <mergeCell ref="A134:J134"/>
    <mergeCell ref="R85:W87"/>
    <mergeCell ref="R129:V129"/>
    <mergeCell ref="A190:B190"/>
    <mergeCell ref="G190:J190"/>
    <mergeCell ref="C190:F190"/>
    <mergeCell ref="G184:J184"/>
    <mergeCell ref="G185:J185"/>
    <mergeCell ref="A183:J183"/>
    <mergeCell ref="A185:F185"/>
    <mergeCell ref="A184:F184"/>
    <mergeCell ref="A186:J186"/>
    <mergeCell ref="A187:J187"/>
    <mergeCell ref="A189:J189"/>
    <mergeCell ref="A136:J136"/>
    <mergeCell ref="A138:J138"/>
    <mergeCell ref="B129:C129"/>
    <mergeCell ref="B131:C131"/>
    <mergeCell ref="B133:C133"/>
    <mergeCell ref="B135:C135"/>
    <mergeCell ref="A172:B172"/>
    <mergeCell ref="H173:I173"/>
    <mergeCell ref="F173:G173"/>
    <mergeCell ref="A173:E173"/>
    <mergeCell ref="R4:W4"/>
    <mergeCell ref="R7:W7"/>
    <mergeCell ref="B148:J148"/>
    <mergeCell ref="B149:J149"/>
    <mergeCell ref="B150:J150"/>
    <mergeCell ref="B151:J151"/>
    <mergeCell ref="B152:J152"/>
    <mergeCell ref="A8:J8"/>
    <mergeCell ref="A33:C33"/>
    <mergeCell ref="B88:J88"/>
    <mergeCell ref="B89:J89"/>
    <mergeCell ref="D133:E133"/>
    <mergeCell ref="D135:E135"/>
    <mergeCell ref="D137:E137"/>
    <mergeCell ref="A126:B126"/>
    <mergeCell ref="R128:V128"/>
    <mergeCell ref="A130:J130"/>
    <mergeCell ref="B76:I76"/>
    <mergeCell ref="B77:I77"/>
    <mergeCell ref="B78:I78"/>
    <mergeCell ref="B72:I72"/>
    <mergeCell ref="B73:I73"/>
    <mergeCell ref="B74:I74"/>
    <mergeCell ref="A132:J132"/>
  </mergeCells>
  <conditionalFormatting sqref="J173">
    <cfRule type="expression" dxfId="11" priority="42">
      <formula>$H$173="Enter Rate:"</formula>
    </cfRule>
    <cfRule type="expression" dxfId="10" priority="43">
      <formula>$H$173="Enter TC Rate:"</formula>
    </cfRule>
  </conditionalFormatting>
  <conditionalFormatting sqref="P177:P180">
    <cfRule type="cellIs" dxfId="9" priority="46" operator="greaterThan">
      <formula>0.1</formula>
    </cfRule>
  </conditionalFormatting>
  <conditionalFormatting sqref="P190">
    <cfRule type="cellIs" dxfId="8" priority="1" operator="lessThan">
      <formula>-0.05</formula>
    </cfRule>
  </conditionalFormatting>
  <hyperlinks>
    <hyperlink ref="R15:S15" r:id="rId1" display="TCS Inquiry" xr:uid="{00000000-0004-0000-0000-000001000000}"/>
    <hyperlink ref="R17" r:id="rId2" display="* Academic Salary Scales" xr:uid="{00000000-0004-0000-0000-000002000000}"/>
    <hyperlink ref="R33" r:id="rId3" xr:uid="{00000000-0004-0000-0000-000003000000}"/>
    <hyperlink ref="V65" r:id="rId4" xr:uid="{00000000-0004-0000-0000-000004000000}"/>
    <hyperlink ref="Z65" r:id="rId5" xr:uid="{00000000-0004-0000-0000-000005000000}"/>
    <hyperlink ref="Y65" r:id="rId6" xr:uid="{00000000-0004-0000-0000-000006000000}"/>
    <hyperlink ref="X65" r:id="rId7" xr:uid="{00000000-0004-0000-0000-000007000000}"/>
    <hyperlink ref="V64" r:id="rId8" xr:uid="{00000000-0004-0000-0000-000008000000}"/>
    <hyperlink ref="W64" r:id="rId9" xr:uid="{00000000-0004-0000-0000-000009000000}"/>
    <hyperlink ref="W65" r:id="rId10" xr:uid="{00000000-0004-0000-0000-00000A000000}"/>
    <hyperlink ref="R111" r:id="rId11" display="* GAEL Information" xr:uid="{00000000-0004-0000-0000-00000C000000}"/>
    <hyperlink ref="R16" r:id="rId12" location="Personnel%20Costs" display="Chart L" xr:uid="{00000000-0004-0000-0000-00000E000000}"/>
    <hyperlink ref="R16:V16" r:id="rId13" display="* If you need to find a job code go here and click on tabs at bottom: Chart L  - Excel Doc" xr:uid="{00000000-0004-0000-0000-00000F000000}"/>
    <hyperlink ref="R18:T18" r:id="rId14" display="* General Information on Budget Preparation - Click Here" xr:uid="{AA148BE6-81EE-405E-A347-92006507DAA8}"/>
    <hyperlink ref="R17:S17" r:id="rId15" display="* Academic Salary Scales - Click Here" xr:uid="{0B16D5F7-42ED-4DB9-A0DF-CF0A181B52D9}"/>
    <hyperlink ref="E1" r:id="rId16" xr:uid="{FB9CBA56-F3ED-4519-9F35-1862426E8279}"/>
    <hyperlink ref="R129:V129" r:id="rId17" display="* Information about determining Subawards versus Vendors - Click Here" xr:uid="{00000000-0004-0000-0000-000010000000}"/>
    <hyperlink ref="R111:W111" r:id="rId18" display="* General, Auto, and Employment Liability (GAEL) Information. Assessment per $100 of salary - Click Here" xr:uid="{7ED8437E-773A-4989-A182-D89A9B030FFF}"/>
  </hyperlinks>
  <pageMargins left="0.7" right="0.7" top="0.75" bottom="0.75" header="0.3" footer="0.3"/>
  <pageSetup scale="53" fitToHeight="0" orientation="portrait" r:id="rId19"/>
  <ignoredErrors>
    <ignoredError sqref="A35:B44 K31:P31 A45:B54" unlockedFormula="1"/>
  </ignoredErrors>
  <drawing r:id="rId20"/>
  <legacyDrawing r:id="rId21"/>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Worksheet!$F$20:$F$21</xm:f>
          </x14:formula1>
          <xm:sqref>J66:J80 C7 F7</xm:sqref>
        </x14:dataValidation>
        <x14:dataValidation type="list" allowBlank="1" showInputMessage="1" showErrorMessage="1" xr:uid="{00000000-0002-0000-0000-000001000000}">
          <x14:formula1>
            <xm:f>Worksheet!$A$20:$A$32</xm:f>
          </x14:formula1>
          <xm:sqref>K6:O6</xm:sqref>
        </x14:dataValidation>
        <x14:dataValidation type="list" showInputMessage="1" showErrorMessage="1" xr:uid="{00000000-0002-0000-0000-000002000000}">
          <x14:formula1>
            <xm:f>Worksheet!$C$20:$C$21</xm:f>
          </x14:formula1>
          <xm:sqref>I11:I30</xm:sqref>
        </x14:dataValidation>
        <x14:dataValidation type="list" allowBlank="1" showInputMessage="1" showErrorMessage="1" xr:uid="{00000000-0002-0000-0000-000003000000}">
          <x14:formula1>
            <xm:f>Worksheet!$D$20:$D$27</xm:f>
          </x14:formula1>
          <xm:sqref>J11:J30</xm:sqref>
        </x14:dataValidation>
        <x14:dataValidation type="list" allowBlank="1" showInputMessage="1" showErrorMessage="1" xr:uid="{00000000-0002-0000-0000-000004000000}">
          <x14:formula1>
            <xm:f>Worksheet!$H$20:$H$21</xm:f>
          </x14:formula1>
          <xm:sqref>D129:E129 D131:E131 D133:E133 D135:E135 D137:E137 D139:E139 D141:E141 D143:E143</xm:sqref>
        </x14:dataValidation>
        <x14:dataValidation type="list" allowBlank="1" showInputMessage="1" showErrorMessage="1" xr:uid="{00000000-0002-0000-0000-000005000000}">
          <x14:formula1>
            <xm:f>Worksheet!$A$75:$A$78</xm:f>
          </x14:formula1>
          <xm:sqref>C170:F170</xm:sqref>
        </x14:dataValidation>
        <x14:dataValidation type="list" allowBlank="1" showInputMessage="1" showErrorMessage="1" xr:uid="{00000000-0002-0000-0000-000007000000}">
          <x14:formula1>
            <xm:f>Worksheet!$A$61:$A$67</xm:f>
          </x14:formula1>
          <xm:sqref>C35:C54</xm:sqref>
        </x14:dataValidation>
        <x14:dataValidation type="list" allowBlank="1" showInputMessage="1" showErrorMessage="1" xr:uid="{00000000-0002-0000-0000-000008000000}">
          <x14:formula1>
            <xm:f>Worksheet!$C$165:$C$167</xm:f>
          </x14:formula1>
          <xm:sqref>A190:B190</xm:sqref>
        </x14:dataValidation>
        <x14:dataValidation type="list" allowBlank="1" showInputMessage="1" showErrorMessage="1" xr:uid="{00000000-0002-0000-0000-000009000000}">
          <x14:formula1>
            <xm:f>Worksheet!$A$162:$A$169</xm:f>
          </x14:formula1>
          <xm:sqref>C190:F190</xm:sqref>
        </x14:dataValidation>
        <x14:dataValidation type="list" allowBlank="1" showInputMessage="1" showErrorMessage="1" xr:uid="{00000000-0002-0000-0000-00000A000000}">
          <x14:formula1>
            <xm:f>Worksheet!$I$92:$I$93</xm:f>
          </x14:formula1>
          <xm:sqref>G184:J185</xm:sqref>
        </x14:dataValidation>
        <x14:dataValidation type="list" allowBlank="1" showInputMessage="1" showErrorMessage="1" xr:uid="{00000000-0002-0000-0000-000006000000}">
          <x14:formula1>
            <xm:f>Worksheet!$A$82:$A$91</xm:f>
          </x14:formula1>
          <xm:sqref>C171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sheetPr>
  <dimension ref="A1:AG40"/>
  <sheetViews>
    <sheetView workbookViewId="0">
      <pane xSplit="2" topLeftCell="C1" activePane="topRight" state="frozen"/>
      <selection pane="topRight" activeCell="B4" sqref="B4"/>
    </sheetView>
  </sheetViews>
  <sheetFormatPr defaultColWidth="9.140625" defaultRowHeight="12.75" x14ac:dyDescent="0.2"/>
  <cols>
    <col min="1" max="1" width="3.140625" style="5" customWidth="1"/>
    <col min="2" max="2" width="27.28515625" style="5" bestFit="1" customWidth="1"/>
    <col min="3" max="3" width="14.7109375" style="5" customWidth="1"/>
    <col min="4" max="4" width="12" style="5" bestFit="1" customWidth="1"/>
    <col min="5" max="5" width="10.28515625" style="5" customWidth="1"/>
    <col min="6" max="6" width="13.5703125" style="5" bestFit="1" customWidth="1"/>
    <col min="7" max="7" width="12" style="5" bestFit="1" customWidth="1"/>
    <col min="8" max="8" width="13.5703125" style="5" bestFit="1" customWidth="1"/>
    <col min="9" max="9" width="12" style="5" bestFit="1" customWidth="1"/>
    <col min="10" max="10" width="8.85546875" style="5" customWidth="1"/>
    <col min="11" max="11" width="13.5703125" style="5" bestFit="1" customWidth="1"/>
    <col min="12" max="12" width="12" style="5" bestFit="1" customWidth="1"/>
    <col min="13" max="13" width="13.5703125" style="5" bestFit="1" customWidth="1"/>
    <col min="14" max="14" width="12" style="5" bestFit="1" customWidth="1"/>
    <col min="15" max="15" width="8.28515625" style="5" customWidth="1"/>
    <col min="16" max="16" width="13.5703125" style="5" bestFit="1" customWidth="1"/>
    <col min="17" max="17" width="12" style="5" bestFit="1" customWidth="1"/>
    <col min="18" max="18" width="13.5703125" style="5" bestFit="1" customWidth="1"/>
    <col min="19" max="19" width="12" style="5" bestFit="1" customWidth="1"/>
    <col min="20" max="20" width="9.7109375" style="5" customWidth="1"/>
    <col min="21" max="23" width="13.5703125" style="5" bestFit="1" customWidth="1"/>
    <col min="24" max="24" width="12" style="5" bestFit="1" customWidth="1"/>
    <col min="25" max="25" width="10.28515625" style="5" customWidth="1"/>
    <col min="26" max="26" width="13.5703125" style="5" bestFit="1" customWidth="1"/>
    <col min="27" max="27" width="12" style="5" bestFit="1" customWidth="1"/>
    <col min="28" max="28" width="13.5703125" style="5" bestFit="1" customWidth="1"/>
    <col min="29" max="29" width="8.7109375" style="5" customWidth="1"/>
    <col min="30" max="30" width="9.140625" style="5"/>
    <col min="31" max="31" width="12.28515625" style="5" bestFit="1" customWidth="1"/>
    <col min="32" max="32" width="10.85546875" style="5" bestFit="1" customWidth="1"/>
    <col min="33" max="33" width="11" style="5" bestFit="1" customWidth="1"/>
    <col min="34" max="16384" width="9.140625" style="5"/>
  </cols>
  <sheetData>
    <row r="1" spans="1:28" ht="15.75" thickBot="1" x14ac:dyDescent="0.3">
      <c r="A1" s="494" t="s">
        <v>298</v>
      </c>
    </row>
    <row r="2" spans="1:28" ht="15" customHeight="1" x14ac:dyDescent="0.2">
      <c r="A2" s="32"/>
      <c r="B2" s="490" t="s">
        <v>294</v>
      </c>
      <c r="C2" s="544"/>
      <c r="D2" s="785" t="s">
        <v>121</v>
      </c>
      <c r="E2" s="786"/>
      <c r="F2" s="786"/>
      <c r="G2" s="786"/>
      <c r="H2" s="787"/>
      <c r="I2" s="788" t="s">
        <v>4</v>
      </c>
      <c r="J2" s="789"/>
      <c r="K2" s="789"/>
      <c r="L2" s="789"/>
      <c r="M2" s="790"/>
      <c r="N2" s="785" t="s">
        <v>5</v>
      </c>
      <c r="O2" s="786"/>
      <c r="P2" s="786"/>
      <c r="Q2" s="786"/>
      <c r="R2" s="787"/>
      <c r="S2" s="788" t="s">
        <v>6</v>
      </c>
      <c r="T2" s="789"/>
      <c r="U2" s="789"/>
      <c r="V2" s="789"/>
      <c r="W2" s="790"/>
      <c r="X2" s="785" t="s">
        <v>7</v>
      </c>
      <c r="Y2" s="786"/>
      <c r="Z2" s="786"/>
      <c r="AA2" s="786"/>
      <c r="AB2" s="787"/>
    </row>
    <row r="3" spans="1:28" ht="38.25" x14ac:dyDescent="0.2">
      <c r="A3" s="32"/>
      <c r="B3" s="491"/>
      <c r="C3" s="553" t="s">
        <v>327</v>
      </c>
      <c r="D3" s="535" t="s">
        <v>297</v>
      </c>
      <c r="E3" s="533" t="s">
        <v>295</v>
      </c>
      <c r="F3" s="543" t="s">
        <v>321</v>
      </c>
      <c r="G3" s="543" t="s">
        <v>322</v>
      </c>
      <c r="H3" s="536" t="s">
        <v>320</v>
      </c>
      <c r="I3" s="539" t="s">
        <v>297</v>
      </c>
      <c r="J3" s="538" t="s">
        <v>295</v>
      </c>
      <c r="K3" s="542" t="s">
        <v>321</v>
      </c>
      <c r="L3" s="542" t="s">
        <v>322</v>
      </c>
      <c r="M3" s="540" t="s">
        <v>320</v>
      </c>
      <c r="N3" s="535" t="s">
        <v>297</v>
      </c>
      <c r="O3" s="533" t="s">
        <v>295</v>
      </c>
      <c r="P3" s="543" t="s">
        <v>321</v>
      </c>
      <c r="Q3" s="543" t="s">
        <v>322</v>
      </c>
      <c r="R3" s="536" t="s">
        <v>320</v>
      </c>
      <c r="S3" s="539" t="s">
        <v>297</v>
      </c>
      <c r="T3" s="538" t="s">
        <v>295</v>
      </c>
      <c r="U3" s="542" t="s">
        <v>321</v>
      </c>
      <c r="V3" s="542" t="s">
        <v>322</v>
      </c>
      <c r="W3" s="540" t="s">
        <v>320</v>
      </c>
      <c r="X3" s="535" t="s">
        <v>297</v>
      </c>
      <c r="Y3" s="533" t="s">
        <v>295</v>
      </c>
      <c r="Z3" s="543" t="s">
        <v>321</v>
      </c>
      <c r="AA3" s="543" t="s">
        <v>322</v>
      </c>
      <c r="AB3" s="536" t="s">
        <v>320</v>
      </c>
    </row>
    <row r="4" spans="1:28" x14ac:dyDescent="0.2">
      <c r="A4" s="32">
        <f>Budget!A11</f>
        <v>1</v>
      </c>
      <c r="B4" s="492" t="str">
        <f>Budget!B11</f>
        <v xml:space="preserve"> </v>
      </c>
      <c r="C4" s="492" t="s">
        <v>315</v>
      </c>
      <c r="D4" s="510">
        <f>Budget!C11</f>
        <v>0</v>
      </c>
      <c r="E4" s="534">
        <f>Budget!D11*12</f>
        <v>0</v>
      </c>
      <c r="F4" s="549">
        <f>Budget!K11</f>
        <v>0</v>
      </c>
      <c r="G4" s="549">
        <f>Budget!K35</f>
        <v>0</v>
      </c>
      <c r="H4" s="545">
        <f>Budget!K11+Budget!K35</f>
        <v>0</v>
      </c>
      <c r="I4" s="511">
        <f>Worksheet!D37</f>
        <v>0</v>
      </c>
      <c r="J4" s="86">
        <f>Budget!E11*12</f>
        <v>0</v>
      </c>
      <c r="K4" s="551">
        <f>Budget!L11</f>
        <v>0</v>
      </c>
      <c r="L4" s="551">
        <f>Budget!L35</f>
        <v>0</v>
      </c>
      <c r="M4" s="546">
        <f>Budget!L11+Budget!L35</f>
        <v>0</v>
      </c>
      <c r="N4" s="512">
        <f>Worksheet!E37</f>
        <v>0</v>
      </c>
      <c r="O4" s="534">
        <f>Budget!F11*12</f>
        <v>0</v>
      </c>
      <c r="P4" s="549">
        <f>Budget!M11</f>
        <v>0</v>
      </c>
      <c r="Q4" s="549">
        <f>Budget!M35</f>
        <v>0</v>
      </c>
      <c r="R4" s="545">
        <f>Budget!M11+Budget!M35</f>
        <v>0</v>
      </c>
      <c r="S4" s="511">
        <f>Worksheet!F37</f>
        <v>0</v>
      </c>
      <c r="T4" s="86">
        <f>Budget!G11*12</f>
        <v>0</v>
      </c>
      <c r="U4" s="551">
        <f>Budget!N11</f>
        <v>0</v>
      </c>
      <c r="V4" s="551">
        <f>Budget!N35</f>
        <v>0</v>
      </c>
      <c r="W4" s="546">
        <f>Budget!N11+Budget!N35</f>
        <v>0</v>
      </c>
      <c r="X4" s="510">
        <f>Worksheet!G37</f>
        <v>0</v>
      </c>
      <c r="Y4" s="534">
        <f>Budget!H11*12</f>
        <v>0</v>
      </c>
      <c r="Z4" s="549">
        <f>Budget!O11</f>
        <v>0</v>
      </c>
      <c r="AA4" s="549">
        <f>Budget!O35</f>
        <v>0</v>
      </c>
      <c r="AB4" s="545">
        <f>Budget!O11+Budget!O35</f>
        <v>0</v>
      </c>
    </row>
    <row r="5" spans="1:28" x14ac:dyDescent="0.2">
      <c r="A5" s="32">
        <f>Budget!A12</f>
        <v>2</v>
      </c>
      <c r="B5" s="492" t="str">
        <f>Budget!B12</f>
        <v xml:space="preserve"> </v>
      </c>
      <c r="C5" s="492" t="s">
        <v>315</v>
      </c>
      <c r="D5" s="510">
        <f>Budget!C12</f>
        <v>0</v>
      </c>
      <c r="E5" s="534">
        <f>Budget!D12*12</f>
        <v>0</v>
      </c>
      <c r="F5" s="549">
        <f>Budget!K12</f>
        <v>0</v>
      </c>
      <c r="G5" s="549">
        <f>Budget!K36</f>
        <v>0</v>
      </c>
      <c r="H5" s="545">
        <f>Budget!K12+Budget!K36</f>
        <v>0</v>
      </c>
      <c r="I5" s="511">
        <f>Worksheet!D38</f>
        <v>0</v>
      </c>
      <c r="J5" s="86">
        <f>Budget!E12*12</f>
        <v>0</v>
      </c>
      <c r="K5" s="551">
        <f>Budget!L12</f>
        <v>0</v>
      </c>
      <c r="L5" s="551">
        <f>Budget!L36</f>
        <v>0</v>
      </c>
      <c r="M5" s="546">
        <f>Budget!L12+Budget!L36</f>
        <v>0</v>
      </c>
      <c r="N5" s="512">
        <f>Worksheet!E38</f>
        <v>0</v>
      </c>
      <c r="O5" s="534">
        <f>Budget!F12*12</f>
        <v>0</v>
      </c>
      <c r="P5" s="549">
        <f>Budget!M12</f>
        <v>0</v>
      </c>
      <c r="Q5" s="549">
        <f>Budget!M36</f>
        <v>0</v>
      </c>
      <c r="R5" s="545">
        <f>Budget!M12+Budget!M36</f>
        <v>0</v>
      </c>
      <c r="S5" s="511">
        <f>Worksheet!F38</f>
        <v>0</v>
      </c>
      <c r="T5" s="86">
        <f>Budget!G12*12</f>
        <v>0</v>
      </c>
      <c r="U5" s="551">
        <f>Budget!N12</f>
        <v>0</v>
      </c>
      <c r="V5" s="551">
        <f>Budget!N36</f>
        <v>0</v>
      </c>
      <c r="W5" s="546">
        <f>Budget!N12+Budget!N36</f>
        <v>0</v>
      </c>
      <c r="X5" s="512">
        <f>Worksheet!G38</f>
        <v>0</v>
      </c>
      <c r="Y5" s="534">
        <f>Budget!H12*12</f>
        <v>0</v>
      </c>
      <c r="Z5" s="549">
        <f>Budget!O12</f>
        <v>0</v>
      </c>
      <c r="AA5" s="549">
        <f>Budget!O36</f>
        <v>0</v>
      </c>
      <c r="AB5" s="545">
        <f>Budget!O12+Budget!O36</f>
        <v>0</v>
      </c>
    </row>
    <row r="6" spans="1:28" x14ac:dyDescent="0.2">
      <c r="A6" s="32">
        <f>Budget!A13</f>
        <v>3</v>
      </c>
      <c r="B6" s="492" t="str">
        <f>Budget!B13</f>
        <v xml:space="preserve"> </v>
      </c>
      <c r="C6" s="492" t="s">
        <v>323</v>
      </c>
      <c r="D6" s="510">
        <f>Budget!C13</f>
        <v>0</v>
      </c>
      <c r="E6" s="534">
        <f>Budget!D13*12</f>
        <v>0</v>
      </c>
      <c r="F6" s="549">
        <f>Budget!K13</f>
        <v>0</v>
      </c>
      <c r="G6" s="549">
        <f>Budget!K37</f>
        <v>0</v>
      </c>
      <c r="H6" s="545">
        <f>Budget!K13+Budget!K37</f>
        <v>0</v>
      </c>
      <c r="I6" s="511">
        <f>Worksheet!D39</f>
        <v>0</v>
      </c>
      <c r="J6" s="86">
        <f>Budget!E13*12</f>
        <v>0</v>
      </c>
      <c r="K6" s="551">
        <f>Budget!L13</f>
        <v>0</v>
      </c>
      <c r="L6" s="551">
        <f>Budget!L37</f>
        <v>0</v>
      </c>
      <c r="M6" s="546">
        <f>Budget!L13+Budget!L37</f>
        <v>0</v>
      </c>
      <c r="N6" s="512">
        <f>Worksheet!E39</f>
        <v>0</v>
      </c>
      <c r="O6" s="534">
        <f>Budget!F13*12</f>
        <v>0</v>
      </c>
      <c r="P6" s="549">
        <f>Budget!M13</f>
        <v>0</v>
      </c>
      <c r="Q6" s="549">
        <f>Budget!M37</f>
        <v>0</v>
      </c>
      <c r="R6" s="545">
        <f>Budget!M13+Budget!M37</f>
        <v>0</v>
      </c>
      <c r="S6" s="511">
        <f>Worksheet!F39</f>
        <v>0</v>
      </c>
      <c r="T6" s="86">
        <f>Budget!G13*12</f>
        <v>0</v>
      </c>
      <c r="U6" s="551">
        <f>Budget!N13</f>
        <v>0</v>
      </c>
      <c r="V6" s="551">
        <f>Budget!N37</f>
        <v>0</v>
      </c>
      <c r="W6" s="546">
        <f>Budget!N13+Budget!N37</f>
        <v>0</v>
      </c>
      <c r="X6" s="512">
        <f>Worksheet!G39</f>
        <v>0</v>
      </c>
      <c r="Y6" s="534">
        <f>Budget!H13*12</f>
        <v>0</v>
      </c>
      <c r="Z6" s="549">
        <f>Budget!O13</f>
        <v>0</v>
      </c>
      <c r="AA6" s="549">
        <f>Budget!O37</f>
        <v>0</v>
      </c>
      <c r="AB6" s="545">
        <f>Budget!O13+Budget!O37</f>
        <v>0</v>
      </c>
    </row>
    <row r="7" spans="1:28" x14ac:dyDescent="0.2">
      <c r="A7" s="32">
        <f>Budget!A14</f>
        <v>4</v>
      </c>
      <c r="B7" s="492" t="str">
        <f>Budget!B14</f>
        <v xml:space="preserve"> </v>
      </c>
      <c r="C7" s="492" t="s">
        <v>324</v>
      </c>
      <c r="D7" s="510">
        <f>Budget!C14</f>
        <v>0</v>
      </c>
      <c r="E7" s="534">
        <f>Budget!D14*12</f>
        <v>0</v>
      </c>
      <c r="F7" s="549">
        <f>Budget!K14</f>
        <v>0</v>
      </c>
      <c r="G7" s="549">
        <f>Budget!K38</f>
        <v>0</v>
      </c>
      <c r="H7" s="545">
        <f>Budget!K14+Budget!K38</f>
        <v>0</v>
      </c>
      <c r="I7" s="511">
        <f>Worksheet!D40</f>
        <v>0</v>
      </c>
      <c r="J7" s="86">
        <f>Budget!E14*12</f>
        <v>0</v>
      </c>
      <c r="K7" s="551">
        <f>Budget!L14</f>
        <v>0</v>
      </c>
      <c r="L7" s="551">
        <f>Budget!L38</f>
        <v>0</v>
      </c>
      <c r="M7" s="546">
        <f>Budget!L14+Budget!L38</f>
        <v>0</v>
      </c>
      <c r="N7" s="512">
        <f>Worksheet!E40</f>
        <v>0</v>
      </c>
      <c r="O7" s="534">
        <f>Budget!F14*12</f>
        <v>0</v>
      </c>
      <c r="P7" s="549">
        <f>Budget!M14</f>
        <v>0</v>
      </c>
      <c r="Q7" s="549">
        <f>Budget!M38</f>
        <v>0</v>
      </c>
      <c r="R7" s="545">
        <f>Budget!M14+Budget!M38</f>
        <v>0</v>
      </c>
      <c r="S7" s="511">
        <f>Worksheet!F40</f>
        <v>0</v>
      </c>
      <c r="T7" s="86">
        <f>Budget!G14*12</f>
        <v>0</v>
      </c>
      <c r="U7" s="551">
        <f>Budget!N14</f>
        <v>0</v>
      </c>
      <c r="V7" s="551">
        <f>Budget!N38</f>
        <v>0</v>
      </c>
      <c r="W7" s="546">
        <f>Budget!N14+Budget!N38</f>
        <v>0</v>
      </c>
      <c r="X7" s="512">
        <f>Worksheet!G40</f>
        <v>0</v>
      </c>
      <c r="Y7" s="534">
        <f>Budget!H14*12</f>
        <v>0</v>
      </c>
      <c r="Z7" s="549">
        <f>Budget!O14</f>
        <v>0</v>
      </c>
      <c r="AA7" s="549">
        <f>Budget!O38</f>
        <v>0</v>
      </c>
      <c r="AB7" s="545">
        <f>Budget!O14+Budget!O38</f>
        <v>0</v>
      </c>
    </row>
    <row r="8" spans="1:28" x14ac:dyDescent="0.2">
      <c r="A8" s="32">
        <f>Budget!A15</f>
        <v>5</v>
      </c>
      <c r="B8" s="492" t="str">
        <f>Budget!B15</f>
        <v xml:space="preserve"> </v>
      </c>
      <c r="C8" s="492" t="s">
        <v>325</v>
      </c>
      <c r="D8" s="510">
        <f>Budget!C15</f>
        <v>0</v>
      </c>
      <c r="E8" s="534">
        <f>Budget!D15*12</f>
        <v>0</v>
      </c>
      <c r="F8" s="549">
        <f>Budget!K15</f>
        <v>0</v>
      </c>
      <c r="G8" s="549">
        <f>Budget!K39</f>
        <v>0</v>
      </c>
      <c r="H8" s="545">
        <f>Budget!K15+Budget!K39</f>
        <v>0</v>
      </c>
      <c r="I8" s="511">
        <f>Worksheet!D41</f>
        <v>0</v>
      </c>
      <c r="J8" s="86">
        <f>Budget!E15*12</f>
        <v>0</v>
      </c>
      <c r="K8" s="551">
        <f>Budget!L15</f>
        <v>0</v>
      </c>
      <c r="L8" s="551">
        <f>Budget!L39</f>
        <v>0</v>
      </c>
      <c r="M8" s="546">
        <f>Budget!L15+Budget!L39</f>
        <v>0</v>
      </c>
      <c r="N8" s="512">
        <f>Worksheet!E41</f>
        <v>0</v>
      </c>
      <c r="O8" s="534">
        <f>Budget!F15*12</f>
        <v>0</v>
      </c>
      <c r="P8" s="549">
        <f>Budget!M15</f>
        <v>0</v>
      </c>
      <c r="Q8" s="549">
        <f>Budget!M39</f>
        <v>0</v>
      </c>
      <c r="R8" s="545">
        <f>Budget!M15+Budget!M39</f>
        <v>0</v>
      </c>
      <c r="S8" s="511">
        <f>Worksheet!F41</f>
        <v>0</v>
      </c>
      <c r="T8" s="86">
        <f>Budget!G15*12</f>
        <v>0</v>
      </c>
      <c r="U8" s="551">
        <f>Budget!N15</f>
        <v>0</v>
      </c>
      <c r="V8" s="551">
        <f>Budget!N39</f>
        <v>0</v>
      </c>
      <c r="W8" s="546">
        <f>Budget!N15+Budget!N39</f>
        <v>0</v>
      </c>
      <c r="X8" s="512">
        <f>Worksheet!G41</f>
        <v>0</v>
      </c>
      <c r="Y8" s="534">
        <f>Budget!H15*12</f>
        <v>0</v>
      </c>
      <c r="Z8" s="549">
        <f>Budget!O15</f>
        <v>0</v>
      </c>
      <c r="AA8" s="549">
        <f>Budget!O39</f>
        <v>0</v>
      </c>
      <c r="AB8" s="545">
        <f>Budget!O15+Budget!O39</f>
        <v>0</v>
      </c>
    </row>
    <row r="9" spans="1:28" x14ac:dyDescent="0.2">
      <c r="A9" s="32">
        <f>Budget!A16</f>
        <v>6</v>
      </c>
      <c r="B9" s="492" t="str">
        <f>Budget!B16</f>
        <v xml:space="preserve"> </v>
      </c>
      <c r="C9" s="492" t="s">
        <v>326</v>
      </c>
      <c r="D9" s="510">
        <f>Budget!C16</f>
        <v>0</v>
      </c>
      <c r="E9" s="534">
        <f>Budget!D16*12</f>
        <v>0</v>
      </c>
      <c r="F9" s="549">
        <f>Budget!K16</f>
        <v>0</v>
      </c>
      <c r="G9" s="549">
        <f>Budget!K40</f>
        <v>0</v>
      </c>
      <c r="H9" s="545">
        <f>Budget!K16+Budget!K40</f>
        <v>0</v>
      </c>
      <c r="I9" s="511">
        <f>Worksheet!D42</f>
        <v>0</v>
      </c>
      <c r="J9" s="86">
        <f>Budget!E16*12</f>
        <v>0</v>
      </c>
      <c r="K9" s="551">
        <f>Budget!L16</f>
        <v>0</v>
      </c>
      <c r="L9" s="551">
        <f>Budget!L40</f>
        <v>0</v>
      </c>
      <c r="M9" s="546">
        <f>Budget!L16+Budget!L40</f>
        <v>0</v>
      </c>
      <c r="N9" s="512">
        <f>Worksheet!E42</f>
        <v>0</v>
      </c>
      <c r="O9" s="534">
        <f>Budget!F16*12</f>
        <v>0</v>
      </c>
      <c r="P9" s="549">
        <f>Budget!M16</f>
        <v>0</v>
      </c>
      <c r="Q9" s="549">
        <f>Budget!M40</f>
        <v>0</v>
      </c>
      <c r="R9" s="545">
        <f>Budget!M16+Budget!M40</f>
        <v>0</v>
      </c>
      <c r="S9" s="511">
        <f>Worksheet!F42</f>
        <v>0</v>
      </c>
      <c r="T9" s="86">
        <f>Budget!G16*12</f>
        <v>0</v>
      </c>
      <c r="U9" s="551">
        <f>Budget!N16</f>
        <v>0</v>
      </c>
      <c r="V9" s="551">
        <f>Budget!N40</f>
        <v>0</v>
      </c>
      <c r="W9" s="546">
        <f>Budget!N16+Budget!N40</f>
        <v>0</v>
      </c>
      <c r="X9" s="512">
        <f>Worksheet!G42</f>
        <v>0</v>
      </c>
      <c r="Y9" s="534">
        <f>Budget!H16*12</f>
        <v>0</v>
      </c>
      <c r="Z9" s="549">
        <f>Budget!O16</f>
        <v>0</v>
      </c>
      <c r="AA9" s="549">
        <f>Budget!O40</f>
        <v>0</v>
      </c>
      <c r="AB9" s="545">
        <f>Budget!O16+Budget!O40</f>
        <v>0</v>
      </c>
    </row>
    <row r="10" spans="1:28" x14ac:dyDescent="0.2">
      <c r="A10" s="32">
        <f>Budget!A17</f>
        <v>7</v>
      </c>
      <c r="B10" s="492" t="str">
        <f>Budget!B17</f>
        <v xml:space="preserve"> </v>
      </c>
      <c r="C10" s="492" t="s">
        <v>323</v>
      </c>
      <c r="D10" s="510">
        <f>Budget!C17</f>
        <v>0</v>
      </c>
      <c r="E10" s="534">
        <f>Budget!D17*12</f>
        <v>0</v>
      </c>
      <c r="F10" s="549">
        <f>Budget!K17</f>
        <v>0</v>
      </c>
      <c r="G10" s="549">
        <f>Budget!K41</f>
        <v>0</v>
      </c>
      <c r="H10" s="545">
        <f>Budget!K17+Budget!K41</f>
        <v>0</v>
      </c>
      <c r="I10" s="511">
        <f>Worksheet!D43</f>
        <v>0</v>
      </c>
      <c r="J10" s="86">
        <f>Budget!E17*12</f>
        <v>0</v>
      </c>
      <c r="K10" s="551">
        <f>Budget!L17</f>
        <v>0</v>
      </c>
      <c r="L10" s="551">
        <f>Budget!L41</f>
        <v>0</v>
      </c>
      <c r="M10" s="546">
        <f>Budget!L17+Budget!L41</f>
        <v>0</v>
      </c>
      <c r="N10" s="512">
        <f>Worksheet!E43</f>
        <v>0</v>
      </c>
      <c r="O10" s="534">
        <f>Budget!F17*12</f>
        <v>0</v>
      </c>
      <c r="P10" s="549">
        <f>Budget!M17</f>
        <v>0</v>
      </c>
      <c r="Q10" s="549">
        <f>Budget!M41</f>
        <v>0</v>
      </c>
      <c r="R10" s="545">
        <f>Budget!M17+Budget!M41</f>
        <v>0</v>
      </c>
      <c r="S10" s="511">
        <f>Worksheet!F43</f>
        <v>0</v>
      </c>
      <c r="T10" s="86">
        <f>Budget!G17*12</f>
        <v>0</v>
      </c>
      <c r="U10" s="551">
        <f>Budget!N17</f>
        <v>0</v>
      </c>
      <c r="V10" s="551">
        <f>Budget!N41</f>
        <v>0</v>
      </c>
      <c r="W10" s="546">
        <f>Budget!N17+Budget!N41</f>
        <v>0</v>
      </c>
      <c r="X10" s="512">
        <f>Worksheet!G43</f>
        <v>0</v>
      </c>
      <c r="Y10" s="534">
        <f>Budget!H17*12</f>
        <v>0</v>
      </c>
      <c r="Z10" s="549">
        <f>Budget!O17</f>
        <v>0</v>
      </c>
      <c r="AA10" s="549">
        <f>Budget!O41</f>
        <v>0</v>
      </c>
      <c r="AB10" s="545">
        <f>Budget!O17+Budget!O41</f>
        <v>0</v>
      </c>
    </row>
    <row r="11" spans="1:28" x14ac:dyDescent="0.2">
      <c r="A11" s="32">
        <f>Budget!A18</f>
        <v>8</v>
      </c>
      <c r="B11" s="492" t="str">
        <f>Budget!B18</f>
        <v xml:space="preserve"> </v>
      </c>
      <c r="C11" s="492" t="s">
        <v>323</v>
      </c>
      <c r="D11" s="510">
        <f>Budget!C18</f>
        <v>0</v>
      </c>
      <c r="E11" s="534">
        <f>Budget!D18*12</f>
        <v>0</v>
      </c>
      <c r="F11" s="549">
        <f>Budget!K18</f>
        <v>0</v>
      </c>
      <c r="G11" s="549">
        <f>Budget!K42</f>
        <v>0</v>
      </c>
      <c r="H11" s="545">
        <f>Budget!K18+Budget!K42</f>
        <v>0</v>
      </c>
      <c r="I11" s="511">
        <f>Worksheet!D44</f>
        <v>0</v>
      </c>
      <c r="J11" s="86">
        <f>Budget!E18*12</f>
        <v>0</v>
      </c>
      <c r="K11" s="551">
        <f>Budget!L18</f>
        <v>0</v>
      </c>
      <c r="L11" s="551">
        <f>Budget!L42</f>
        <v>0</v>
      </c>
      <c r="M11" s="546">
        <f>Budget!L18+Budget!L42</f>
        <v>0</v>
      </c>
      <c r="N11" s="512">
        <f>Worksheet!E44</f>
        <v>0</v>
      </c>
      <c r="O11" s="534">
        <f>Budget!F18*12</f>
        <v>0</v>
      </c>
      <c r="P11" s="549">
        <f>Budget!M18</f>
        <v>0</v>
      </c>
      <c r="Q11" s="549">
        <f>Budget!M42</f>
        <v>0</v>
      </c>
      <c r="R11" s="545">
        <f>Budget!M18+Budget!M42</f>
        <v>0</v>
      </c>
      <c r="S11" s="511">
        <f>Worksheet!F44</f>
        <v>0</v>
      </c>
      <c r="T11" s="86">
        <f>Budget!G18*12</f>
        <v>0</v>
      </c>
      <c r="U11" s="551">
        <f>Budget!N18</f>
        <v>0</v>
      </c>
      <c r="V11" s="551">
        <f>Budget!N42</f>
        <v>0</v>
      </c>
      <c r="W11" s="546">
        <f>Budget!N18+Budget!N42</f>
        <v>0</v>
      </c>
      <c r="X11" s="512">
        <f>Worksheet!G44</f>
        <v>0</v>
      </c>
      <c r="Y11" s="534">
        <f>Budget!H18*12</f>
        <v>0</v>
      </c>
      <c r="Z11" s="549">
        <f>Budget!O18</f>
        <v>0</v>
      </c>
      <c r="AA11" s="549">
        <f>Budget!O42</f>
        <v>0</v>
      </c>
      <c r="AB11" s="545">
        <f>Budget!O18+Budget!O42</f>
        <v>0</v>
      </c>
    </row>
    <row r="12" spans="1:28" x14ac:dyDescent="0.2">
      <c r="A12" s="32">
        <f>Budget!A19</f>
        <v>9</v>
      </c>
      <c r="B12" s="492" t="str">
        <f>Budget!B19</f>
        <v xml:space="preserve"> </v>
      </c>
      <c r="C12" s="492" t="s">
        <v>323</v>
      </c>
      <c r="D12" s="510">
        <f>Budget!C19</f>
        <v>0</v>
      </c>
      <c r="E12" s="534">
        <f>Budget!D19*12</f>
        <v>0</v>
      </c>
      <c r="F12" s="549">
        <f>Budget!K19</f>
        <v>0</v>
      </c>
      <c r="G12" s="549">
        <f>Budget!K43</f>
        <v>0</v>
      </c>
      <c r="H12" s="545">
        <f>Budget!K19+Budget!K43</f>
        <v>0</v>
      </c>
      <c r="I12" s="511">
        <f>Worksheet!D45</f>
        <v>0</v>
      </c>
      <c r="J12" s="86">
        <f>Budget!E19*12</f>
        <v>0</v>
      </c>
      <c r="K12" s="551">
        <f>Budget!L19</f>
        <v>0</v>
      </c>
      <c r="L12" s="551">
        <f>Budget!L43</f>
        <v>0</v>
      </c>
      <c r="M12" s="546">
        <f>Budget!L19+Budget!L43</f>
        <v>0</v>
      </c>
      <c r="N12" s="512">
        <f>Worksheet!E45</f>
        <v>0</v>
      </c>
      <c r="O12" s="534">
        <f>Budget!F19*12</f>
        <v>0</v>
      </c>
      <c r="P12" s="549">
        <f>Budget!M19</f>
        <v>0</v>
      </c>
      <c r="Q12" s="549">
        <f>Budget!M43</f>
        <v>0</v>
      </c>
      <c r="R12" s="545">
        <f>Budget!M19+Budget!M43</f>
        <v>0</v>
      </c>
      <c r="S12" s="511">
        <f>Worksheet!F45</f>
        <v>0</v>
      </c>
      <c r="T12" s="86">
        <f>Budget!G19*12</f>
        <v>0</v>
      </c>
      <c r="U12" s="551">
        <f>Budget!N19</f>
        <v>0</v>
      </c>
      <c r="V12" s="551">
        <f>Budget!N43</f>
        <v>0</v>
      </c>
      <c r="W12" s="546">
        <f>Budget!N19+Budget!N43</f>
        <v>0</v>
      </c>
      <c r="X12" s="512">
        <f>Worksheet!G45</f>
        <v>0</v>
      </c>
      <c r="Y12" s="534">
        <f>Budget!H19*12</f>
        <v>0</v>
      </c>
      <c r="Z12" s="549">
        <f>Budget!O19</f>
        <v>0</v>
      </c>
      <c r="AA12" s="549">
        <f>Budget!O43</f>
        <v>0</v>
      </c>
      <c r="AB12" s="545">
        <f>Budget!O19+Budget!O43</f>
        <v>0</v>
      </c>
    </row>
    <row r="13" spans="1:28" x14ac:dyDescent="0.2">
      <c r="A13" s="32">
        <f>Budget!A20</f>
        <v>10</v>
      </c>
      <c r="B13" s="492" t="str">
        <f>Budget!B20</f>
        <v xml:space="preserve"> </v>
      </c>
      <c r="C13" s="492" t="s">
        <v>323</v>
      </c>
      <c r="D13" s="510">
        <f>Budget!C20</f>
        <v>0</v>
      </c>
      <c r="E13" s="534">
        <f>Budget!D20*12</f>
        <v>0</v>
      </c>
      <c r="F13" s="549">
        <f>Budget!K20</f>
        <v>0</v>
      </c>
      <c r="G13" s="549">
        <f>Budget!K44</f>
        <v>0</v>
      </c>
      <c r="H13" s="545">
        <f>Budget!K20+Budget!K44</f>
        <v>0</v>
      </c>
      <c r="I13" s="511">
        <f>Worksheet!D46</f>
        <v>0</v>
      </c>
      <c r="J13" s="86">
        <f>Budget!E20*12</f>
        <v>0</v>
      </c>
      <c r="K13" s="551">
        <f>Budget!L20</f>
        <v>0</v>
      </c>
      <c r="L13" s="551">
        <f>Budget!L44</f>
        <v>0</v>
      </c>
      <c r="M13" s="546">
        <f>Budget!L20+Budget!L44</f>
        <v>0</v>
      </c>
      <c r="N13" s="512">
        <f>Worksheet!E46</f>
        <v>0</v>
      </c>
      <c r="O13" s="534">
        <f>Budget!F20*12</f>
        <v>0</v>
      </c>
      <c r="P13" s="549">
        <f>Budget!M20</f>
        <v>0</v>
      </c>
      <c r="Q13" s="549">
        <f>Budget!M44</f>
        <v>0</v>
      </c>
      <c r="R13" s="545">
        <f>Budget!M20+Budget!M44</f>
        <v>0</v>
      </c>
      <c r="S13" s="511">
        <f>Worksheet!F46</f>
        <v>0</v>
      </c>
      <c r="T13" s="86">
        <f>Budget!G20*12</f>
        <v>0</v>
      </c>
      <c r="U13" s="551">
        <f>Budget!N20</f>
        <v>0</v>
      </c>
      <c r="V13" s="551">
        <f>Budget!N44</f>
        <v>0</v>
      </c>
      <c r="W13" s="546">
        <f>Budget!N20+Budget!N44</f>
        <v>0</v>
      </c>
      <c r="X13" s="512">
        <f>Worksheet!G46</f>
        <v>0</v>
      </c>
      <c r="Y13" s="534">
        <f>Budget!H20*12</f>
        <v>0</v>
      </c>
      <c r="Z13" s="549">
        <f>Budget!O20</f>
        <v>0</v>
      </c>
      <c r="AA13" s="549">
        <f>Budget!O44</f>
        <v>0</v>
      </c>
      <c r="AB13" s="545">
        <f>Budget!O20+Budget!O44</f>
        <v>0</v>
      </c>
    </row>
    <row r="14" spans="1:28" x14ac:dyDescent="0.2">
      <c r="A14" s="32">
        <f>Budget!A21</f>
        <v>11</v>
      </c>
      <c r="B14" s="492" t="str">
        <f>Budget!B21</f>
        <v xml:space="preserve"> </v>
      </c>
      <c r="C14" s="492" t="s">
        <v>323</v>
      </c>
      <c r="D14" s="510">
        <f>Budget!C21</f>
        <v>0</v>
      </c>
      <c r="E14" s="534">
        <f>Budget!D21*12</f>
        <v>0</v>
      </c>
      <c r="F14" s="549">
        <f>Budget!K21</f>
        <v>0</v>
      </c>
      <c r="G14" s="549">
        <f>Budget!K45</f>
        <v>0</v>
      </c>
      <c r="H14" s="545">
        <f>Budget!K21+Budget!K45</f>
        <v>0</v>
      </c>
      <c r="I14" s="511">
        <f>Worksheet!D47</f>
        <v>0</v>
      </c>
      <c r="J14" s="86">
        <f>Budget!E21*12</f>
        <v>0</v>
      </c>
      <c r="K14" s="551">
        <f>Budget!L21</f>
        <v>0</v>
      </c>
      <c r="L14" s="551">
        <f>Budget!L45</f>
        <v>0</v>
      </c>
      <c r="M14" s="546">
        <f>Budget!L21+Budget!L45</f>
        <v>0</v>
      </c>
      <c r="N14" s="512">
        <f>Worksheet!E47</f>
        <v>0</v>
      </c>
      <c r="O14" s="534">
        <f>Budget!F21*12</f>
        <v>0</v>
      </c>
      <c r="P14" s="549">
        <f>Budget!M21</f>
        <v>0</v>
      </c>
      <c r="Q14" s="549">
        <f>Budget!M45</f>
        <v>0</v>
      </c>
      <c r="R14" s="545">
        <f>Budget!M21+Budget!M45</f>
        <v>0</v>
      </c>
      <c r="S14" s="511">
        <f>Worksheet!F47</f>
        <v>0</v>
      </c>
      <c r="T14" s="86">
        <f>Budget!G21*12</f>
        <v>0</v>
      </c>
      <c r="U14" s="551">
        <f>Budget!N21</f>
        <v>0</v>
      </c>
      <c r="V14" s="551">
        <f>Budget!N45</f>
        <v>0</v>
      </c>
      <c r="W14" s="546">
        <f>Budget!N21+Budget!N45</f>
        <v>0</v>
      </c>
      <c r="X14" s="512">
        <f>Worksheet!G47</f>
        <v>0</v>
      </c>
      <c r="Y14" s="534">
        <f>Budget!H21*12</f>
        <v>0</v>
      </c>
      <c r="Z14" s="549">
        <f>Budget!O21</f>
        <v>0</v>
      </c>
      <c r="AA14" s="549">
        <f>Budget!O45</f>
        <v>0</v>
      </c>
      <c r="AB14" s="545">
        <f>Budget!O21+Budget!O45</f>
        <v>0</v>
      </c>
    </row>
    <row r="15" spans="1:28" x14ac:dyDescent="0.2">
      <c r="A15" s="32">
        <f>Budget!A22</f>
        <v>12</v>
      </c>
      <c r="B15" s="492" t="str">
        <f>Budget!B22</f>
        <v xml:space="preserve"> </v>
      </c>
      <c r="C15" s="492" t="s">
        <v>323</v>
      </c>
      <c r="D15" s="510">
        <f>Budget!C22</f>
        <v>0</v>
      </c>
      <c r="E15" s="534">
        <f>Budget!D22*12</f>
        <v>0</v>
      </c>
      <c r="F15" s="549">
        <f>Budget!K22</f>
        <v>0</v>
      </c>
      <c r="G15" s="549">
        <f>Budget!K46</f>
        <v>0</v>
      </c>
      <c r="H15" s="545">
        <f>Budget!K22+Budget!K46</f>
        <v>0</v>
      </c>
      <c r="I15" s="511">
        <f>Worksheet!D48</f>
        <v>0</v>
      </c>
      <c r="J15" s="86">
        <f>Budget!E22*12</f>
        <v>0</v>
      </c>
      <c r="K15" s="551">
        <f>Budget!L22</f>
        <v>0</v>
      </c>
      <c r="L15" s="551">
        <f>Budget!L46</f>
        <v>0</v>
      </c>
      <c r="M15" s="546">
        <f>Budget!L22+Budget!L46</f>
        <v>0</v>
      </c>
      <c r="N15" s="512">
        <f>Worksheet!E48</f>
        <v>0</v>
      </c>
      <c r="O15" s="534">
        <f>Budget!F22*12</f>
        <v>0</v>
      </c>
      <c r="P15" s="549">
        <f>Budget!M22</f>
        <v>0</v>
      </c>
      <c r="Q15" s="549">
        <f>Budget!M46</f>
        <v>0</v>
      </c>
      <c r="R15" s="545">
        <f>Budget!M22+Budget!M46</f>
        <v>0</v>
      </c>
      <c r="S15" s="511">
        <f>Worksheet!F48</f>
        <v>0</v>
      </c>
      <c r="T15" s="86">
        <f>Budget!G22*12</f>
        <v>0</v>
      </c>
      <c r="U15" s="551">
        <f>Budget!N22</f>
        <v>0</v>
      </c>
      <c r="V15" s="551">
        <f>Budget!N46</f>
        <v>0</v>
      </c>
      <c r="W15" s="546">
        <f>Budget!N22+Budget!N46</f>
        <v>0</v>
      </c>
      <c r="X15" s="512">
        <f>Worksheet!G48</f>
        <v>0</v>
      </c>
      <c r="Y15" s="534">
        <f>Budget!H22*12</f>
        <v>0</v>
      </c>
      <c r="Z15" s="549">
        <f>Budget!O22</f>
        <v>0</v>
      </c>
      <c r="AA15" s="549">
        <f>Budget!O46</f>
        <v>0</v>
      </c>
      <c r="AB15" s="545">
        <f>Budget!O22+Budget!O46</f>
        <v>0</v>
      </c>
    </row>
    <row r="16" spans="1:28" x14ac:dyDescent="0.2">
      <c r="A16" s="32">
        <f>Budget!A23</f>
        <v>13</v>
      </c>
      <c r="B16" s="492" t="str">
        <f>Budget!B23</f>
        <v xml:space="preserve"> </v>
      </c>
      <c r="C16" s="492" t="s">
        <v>323</v>
      </c>
      <c r="D16" s="510">
        <f>Budget!C23</f>
        <v>0</v>
      </c>
      <c r="E16" s="534">
        <f>Budget!D23*12</f>
        <v>0</v>
      </c>
      <c r="F16" s="549">
        <f>Budget!K23</f>
        <v>0</v>
      </c>
      <c r="G16" s="549">
        <f>Budget!K47</f>
        <v>0</v>
      </c>
      <c r="H16" s="545">
        <f>Budget!K23+Budget!K47</f>
        <v>0</v>
      </c>
      <c r="I16" s="511">
        <f>Worksheet!D49</f>
        <v>0</v>
      </c>
      <c r="J16" s="86">
        <f>Budget!E23*12</f>
        <v>0</v>
      </c>
      <c r="K16" s="551">
        <f>Budget!L23</f>
        <v>0</v>
      </c>
      <c r="L16" s="551">
        <f>Budget!L47</f>
        <v>0</v>
      </c>
      <c r="M16" s="546">
        <f>Budget!L23+Budget!L47</f>
        <v>0</v>
      </c>
      <c r="N16" s="512">
        <f>Worksheet!E49</f>
        <v>0</v>
      </c>
      <c r="O16" s="534">
        <f>Budget!F23*12</f>
        <v>0</v>
      </c>
      <c r="P16" s="549">
        <f>Budget!M23</f>
        <v>0</v>
      </c>
      <c r="Q16" s="549">
        <f>Budget!M47</f>
        <v>0</v>
      </c>
      <c r="R16" s="545">
        <f>Budget!M23+Budget!M47</f>
        <v>0</v>
      </c>
      <c r="S16" s="511">
        <f>Worksheet!F49</f>
        <v>0</v>
      </c>
      <c r="T16" s="86">
        <f>Budget!G23*12</f>
        <v>0</v>
      </c>
      <c r="U16" s="551">
        <f>Budget!N23</f>
        <v>0</v>
      </c>
      <c r="V16" s="551">
        <f>Budget!N47</f>
        <v>0</v>
      </c>
      <c r="W16" s="546">
        <f>Budget!N23+Budget!N47</f>
        <v>0</v>
      </c>
      <c r="X16" s="512">
        <f>Worksheet!G49</f>
        <v>0</v>
      </c>
      <c r="Y16" s="534">
        <f>Budget!H23*12</f>
        <v>0</v>
      </c>
      <c r="Z16" s="549">
        <f>Budget!O23</f>
        <v>0</v>
      </c>
      <c r="AA16" s="549">
        <f>Budget!O47</f>
        <v>0</v>
      </c>
      <c r="AB16" s="545">
        <f>Budget!O23+Budget!O47</f>
        <v>0</v>
      </c>
    </row>
    <row r="17" spans="1:33" x14ac:dyDescent="0.2">
      <c r="A17" s="32">
        <f>Budget!A24</f>
        <v>14</v>
      </c>
      <c r="B17" s="492" t="str">
        <f>Budget!B24</f>
        <v xml:space="preserve"> </v>
      </c>
      <c r="C17" s="492" t="s">
        <v>323</v>
      </c>
      <c r="D17" s="510">
        <f>Budget!C24</f>
        <v>0</v>
      </c>
      <c r="E17" s="534">
        <f>Budget!D24*12</f>
        <v>0</v>
      </c>
      <c r="F17" s="549">
        <f>Budget!K24</f>
        <v>0</v>
      </c>
      <c r="G17" s="549">
        <f>Budget!K48</f>
        <v>0</v>
      </c>
      <c r="H17" s="545">
        <f>Budget!K24+Budget!K48</f>
        <v>0</v>
      </c>
      <c r="I17" s="511">
        <f>Worksheet!D50</f>
        <v>0</v>
      </c>
      <c r="J17" s="86">
        <f>Budget!E24*12</f>
        <v>0</v>
      </c>
      <c r="K17" s="551">
        <f>Budget!L24</f>
        <v>0</v>
      </c>
      <c r="L17" s="551">
        <f>Budget!L48</f>
        <v>0</v>
      </c>
      <c r="M17" s="546">
        <f>Budget!L24+Budget!L48</f>
        <v>0</v>
      </c>
      <c r="N17" s="512">
        <f>Worksheet!E50</f>
        <v>0</v>
      </c>
      <c r="O17" s="534">
        <f>Budget!F24*12</f>
        <v>0</v>
      </c>
      <c r="P17" s="549">
        <f>Budget!M24</f>
        <v>0</v>
      </c>
      <c r="Q17" s="549">
        <f>Budget!M48</f>
        <v>0</v>
      </c>
      <c r="R17" s="545">
        <f>Budget!M24+Budget!M48</f>
        <v>0</v>
      </c>
      <c r="S17" s="511">
        <f>Worksheet!F50</f>
        <v>0</v>
      </c>
      <c r="T17" s="86">
        <f>Budget!G24*12</f>
        <v>0</v>
      </c>
      <c r="U17" s="551">
        <f>Budget!N24</f>
        <v>0</v>
      </c>
      <c r="V17" s="551">
        <f>Budget!N48</f>
        <v>0</v>
      </c>
      <c r="W17" s="546">
        <f>Budget!N24+Budget!N48</f>
        <v>0</v>
      </c>
      <c r="X17" s="512">
        <f>Worksheet!G50</f>
        <v>0</v>
      </c>
      <c r="Y17" s="534">
        <f>Budget!H24*12</f>
        <v>0</v>
      </c>
      <c r="Z17" s="549">
        <f>Budget!O24</f>
        <v>0</v>
      </c>
      <c r="AA17" s="549">
        <f>Budget!O48</f>
        <v>0</v>
      </c>
      <c r="AB17" s="545">
        <f>Budget!O24+Budget!O48</f>
        <v>0</v>
      </c>
    </row>
    <row r="18" spans="1:33" x14ac:dyDescent="0.2">
      <c r="A18" s="32">
        <f>Budget!A25</f>
        <v>15</v>
      </c>
      <c r="B18" s="492" t="str">
        <f>Budget!B25</f>
        <v xml:space="preserve"> </v>
      </c>
      <c r="C18" s="492" t="s">
        <v>323</v>
      </c>
      <c r="D18" s="510">
        <f>Budget!C25</f>
        <v>0</v>
      </c>
      <c r="E18" s="534">
        <f>Budget!D25*12</f>
        <v>0</v>
      </c>
      <c r="F18" s="549">
        <f>Budget!K25</f>
        <v>0</v>
      </c>
      <c r="G18" s="549">
        <f>Budget!K49</f>
        <v>0</v>
      </c>
      <c r="H18" s="545">
        <f>Budget!K25+Budget!K49</f>
        <v>0</v>
      </c>
      <c r="I18" s="511">
        <f>Worksheet!D51</f>
        <v>0</v>
      </c>
      <c r="J18" s="86">
        <f>Budget!E25*12</f>
        <v>0</v>
      </c>
      <c r="K18" s="551">
        <f>Budget!L25</f>
        <v>0</v>
      </c>
      <c r="L18" s="551">
        <f>Budget!L49</f>
        <v>0</v>
      </c>
      <c r="M18" s="546">
        <f>Budget!L25+Budget!L49</f>
        <v>0</v>
      </c>
      <c r="N18" s="512">
        <f>Worksheet!E51</f>
        <v>0</v>
      </c>
      <c r="O18" s="534">
        <f>Budget!F25*12</f>
        <v>0</v>
      </c>
      <c r="P18" s="549">
        <f>Budget!M25</f>
        <v>0</v>
      </c>
      <c r="Q18" s="549">
        <f>Budget!M49</f>
        <v>0</v>
      </c>
      <c r="R18" s="545">
        <f>Budget!M25+Budget!M49</f>
        <v>0</v>
      </c>
      <c r="S18" s="511">
        <f>Worksheet!F51</f>
        <v>0</v>
      </c>
      <c r="T18" s="86">
        <f>Budget!G25*12</f>
        <v>0</v>
      </c>
      <c r="U18" s="551">
        <f>Budget!N25</f>
        <v>0</v>
      </c>
      <c r="V18" s="551">
        <f>Budget!N49</f>
        <v>0</v>
      </c>
      <c r="W18" s="546">
        <f>Budget!N25+Budget!N49</f>
        <v>0</v>
      </c>
      <c r="X18" s="512">
        <f>Worksheet!G51</f>
        <v>0</v>
      </c>
      <c r="Y18" s="534">
        <f>Budget!H25*12</f>
        <v>0</v>
      </c>
      <c r="Z18" s="549">
        <f>Budget!O25</f>
        <v>0</v>
      </c>
      <c r="AA18" s="549">
        <f>Budget!O49</f>
        <v>0</v>
      </c>
      <c r="AB18" s="545">
        <f>Budget!O25+Budget!O49</f>
        <v>0</v>
      </c>
    </row>
    <row r="19" spans="1:33" x14ac:dyDescent="0.2">
      <c r="A19" s="32">
        <f>Budget!A26</f>
        <v>16</v>
      </c>
      <c r="B19" s="492" t="str">
        <f>Budget!B26</f>
        <v xml:space="preserve"> </v>
      </c>
      <c r="C19" s="492" t="s">
        <v>323</v>
      </c>
      <c r="D19" s="510">
        <f>Budget!C26</f>
        <v>0</v>
      </c>
      <c r="E19" s="534">
        <f>Budget!D26*12</f>
        <v>0</v>
      </c>
      <c r="F19" s="549">
        <f>Budget!K26</f>
        <v>0</v>
      </c>
      <c r="G19" s="549">
        <f>Budget!K50</f>
        <v>0</v>
      </c>
      <c r="H19" s="545">
        <f>Budget!K26+Budget!K50</f>
        <v>0</v>
      </c>
      <c r="I19" s="511">
        <f>Worksheet!D52</f>
        <v>0</v>
      </c>
      <c r="J19" s="86">
        <f>Budget!E26*12</f>
        <v>0</v>
      </c>
      <c r="K19" s="551">
        <f>Budget!L26</f>
        <v>0</v>
      </c>
      <c r="L19" s="551">
        <f>Budget!L50</f>
        <v>0</v>
      </c>
      <c r="M19" s="546">
        <f>Budget!L26+Budget!L50</f>
        <v>0</v>
      </c>
      <c r="N19" s="512">
        <f>Worksheet!E52</f>
        <v>0</v>
      </c>
      <c r="O19" s="534">
        <f>Budget!F26*12</f>
        <v>0</v>
      </c>
      <c r="P19" s="549">
        <f>Budget!M26</f>
        <v>0</v>
      </c>
      <c r="Q19" s="549">
        <f>Budget!M50</f>
        <v>0</v>
      </c>
      <c r="R19" s="545">
        <f>Budget!M26+Budget!M50</f>
        <v>0</v>
      </c>
      <c r="S19" s="511">
        <f>Worksheet!F52</f>
        <v>0</v>
      </c>
      <c r="T19" s="86">
        <f>Budget!G26*12</f>
        <v>0</v>
      </c>
      <c r="U19" s="551">
        <f>Budget!N26</f>
        <v>0</v>
      </c>
      <c r="V19" s="551">
        <f>Budget!N50</f>
        <v>0</v>
      </c>
      <c r="W19" s="546">
        <f>Budget!N26+Budget!N50</f>
        <v>0</v>
      </c>
      <c r="X19" s="512">
        <f>Worksheet!G52</f>
        <v>0</v>
      </c>
      <c r="Y19" s="534">
        <f>Budget!H26*12</f>
        <v>0</v>
      </c>
      <c r="Z19" s="549">
        <f>Budget!O26</f>
        <v>0</v>
      </c>
      <c r="AA19" s="549">
        <f>Budget!O50</f>
        <v>0</v>
      </c>
      <c r="AB19" s="545">
        <f>Budget!O26+Budget!O50</f>
        <v>0</v>
      </c>
    </row>
    <row r="20" spans="1:33" x14ac:dyDescent="0.2">
      <c r="A20" s="32">
        <f>Budget!A27</f>
        <v>17</v>
      </c>
      <c r="B20" s="492" t="str">
        <f>Budget!B27</f>
        <v xml:space="preserve"> </v>
      </c>
      <c r="C20" s="492" t="s">
        <v>323</v>
      </c>
      <c r="D20" s="510">
        <f>Budget!C27</f>
        <v>0</v>
      </c>
      <c r="E20" s="534">
        <f>Budget!D27*12</f>
        <v>0</v>
      </c>
      <c r="F20" s="549">
        <f>Budget!K27</f>
        <v>0</v>
      </c>
      <c r="G20" s="549">
        <f>Budget!K51</f>
        <v>0</v>
      </c>
      <c r="H20" s="545">
        <f>Budget!K27+Budget!K51</f>
        <v>0</v>
      </c>
      <c r="I20" s="511">
        <f>Worksheet!D53</f>
        <v>0</v>
      </c>
      <c r="J20" s="86">
        <f>Budget!E27*12</f>
        <v>0</v>
      </c>
      <c r="K20" s="551">
        <f>Budget!L27</f>
        <v>0</v>
      </c>
      <c r="L20" s="551">
        <f>Budget!L51</f>
        <v>0</v>
      </c>
      <c r="M20" s="546">
        <f>Budget!L27+Budget!L51</f>
        <v>0</v>
      </c>
      <c r="N20" s="512">
        <f>Worksheet!E53</f>
        <v>0</v>
      </c>
      <c r="O20" s="534">
        <f>Budget!F27*12</f>
        <v>0</v>
      </c>
      <c r="P20" s="549">
        <f>Budget!M27</f>
        <v>0</v>
      </c>
      <c r="Q20" s="549">
        <f>Budget!M51</f>
        <v>0</v>
      </c>
      <c r="R20" s="545">
        <f>Budget!M27+Budget!M51</f>
        <v>0</v>
      </c>
      <c r="S20" s="511">
        <f>Worksheet!F53</f>
        <v>0</v>
      </c>
      <c r="T20" s="86">
        <f>Budget!G27*12</f>
        <v>0</v>
      </c>
      <c r="U20" s="551">
        <f>Budget!N27</f>
        <v>0</v>
      </c>
      <c r="V20" s="551">
        <f>Budget!N51</f>
        <v>0</v>
      </c>
      <c r="W20" s="546">
        <f>Budget!N27+Budget!N51</f>
        <v>0</v>
      </c>
      <c r="X20" s="512">
        <f>Worksheet!G53</f>
        <v>0</v>
      </c>
      <c r="Y20" s="534">
        <f>Budget!H27*12</f>
        <v>0</v>
      </c>
      <c r="Z20" s="549">
        <f>Budget!O27</f>
        <v>0</v>
      </c>
      <c r="AA20" s="549">
        <f>Budget!O51</f>
        <v>0</v>
      </c>
      <c r="AB20" s="545">
        <f>Budget!O27+Budget!O51</f>
        <v>0</v>
      </c>
    </row>
    <row r="21" spans="1:33" x14ac:dyDescent="0.2">
      <c r="A21" s="32">
        <f>Budget!A28</f>
        <v>18</v>
      </c>
      <c r="B21" s="492" t="str">
        <f>Budget!B28</f>
        <v xml:space="preserve"> </v>
      </c>
      <c r="C21" s="492" t="s">
        <v>323</v>
      </c>
      <c r="D21" s="510">
        <f>Budget!C28</f>
        <v>0</v>
      </c>
      <c r="E21" s="534">
        <f>Budget!D28*12</f>
        <v>0</v>
      </c>
      <c r="F21" s="549">
        <f>Budget!K28</f>
        <v>0</v>
      </c>
      <c r="G21" s="549">
        <f>Budget!K52</f>
        <v>0</v>
      </c>
      <c r="H21" s="545">
        <f>Budget!K28+Budget!K52</f>
        <v>0</v>
      </c>
      <c r="I21" s="511">
        <f>Worksheet!D54</f>
        <v>0</v>
      </c>
      <c r="J21" s="86">
        <f>Budget!E28*12</f>
        <v>0</v>
      </c>
      <c r="K21" s="551">
        <f>Budget!L28</f>
        <v>0</v>
      </c>
      <c r="L21" s="551">
        <f>Budget!L52</f>
        <v>0</v>
      </c>
      <c r="M21" s="546">
        <f>Budget!L28+Budget!L52</f>
        <v>0</v>
      </c>
      <c r="N21" s="512">
        <f>Worksheet!E54</f>
        <v>0</v>
      </c>
      <c r="O21" s="534">
        <f>Budget!F28*12</f>
        <v>0</v>
      </c>
      <c r="P21" s="549">
        <f>Budget!M28</f>
        <v>0</v>
      </c>
      <c r="Q21" s="549">
        <f>Budget!M52</f>
        <v>0</v>
      </c>
      <c r="R21" s="545">
        <f>Budget!M28+Budget!M52</f>
        <v>0</v>
      </c>
      <c r="S21" s="511">
        <f>Worksheet!F54</f>
        <v>0</v>
      </c>
      <c r="T21" s="86">
        <f>Budget!G28*12</f>
        <v>0</v>
      </c>
      <c r="U21" s="551">
        <f>Budget!N28</f>
        <v>0</v>
      </c>
      <c r="V21" s="551">
        <f>Budget!N52</f>
        <v>0</v>
      </c>
      <c r="W21" s="546">
        <f>Budget!N28+Budget!N52</f>
        <v>0</v>
      </c>
      <c r="X21" s="512">
        <f>Worksheet!G54</f>
        <v>0</v>
      </c>
      <c r="Y21" s="534">
        <f>Budget!H28*12</f>
        <v>0</v>
      </c>
      <c r="Z21" s="549">
        <f>Budget!O28</f>
        <v>0</v>
      </c>
      <c r="AA21" s="549">
        <f>Budget!O52</f>
        <v>0</v>
      </c>
      <c r="AB21" s="545">
        <f>Budget!O28+Budget!O52</f>
        <v>0</v>
      </c>
    </row>
    <row r="22" spans="1:33" x14ac:dyDescent="0.2">
      <c r="A22" s="32">
        <f>Budget!A29</f>
        <v>19</v>
      </c>
      <c r="B22" s="492" t="str">
        <f>Budget!B29</f>
        <v xml:space="preserve"> </v>
      </c>
      <c r="C22" s="492" t="s">
        <v>323</v>
      </c>
      <c r="D22" s="510">
        <f>Budget!C29</f>
        <v>0</v>
      </c>
      <c r="E22" s="534">
        <f>Budget!D29*12</f>
        <v>0</v>
      </c>
      <c r="F22" s="549">
        <f>Budget!K29</f>
        <v>0</v>
      </c>
      <c r="G22" s="549">
        <f>Budget!K53</f>
        <v>0</v>
      </c>
      <c r="H22" s="545">
        <f>Budget!K29+Budget!K53</f>
        <v>0</v>
      </c>
      <c r="I22" s="511">
        <f>Worksheet!D55</f>
        <v>0</v>
      </c>
      <c r="J22" s="86">
        <f>Budget!E29*12</f>
        <v>0</v>
      </c>
      <c r="K22" s="551">
        <f>Budget!L29</f>
        <v>0</v>
      </c>
      <c r="L22" s="551">
        <f>Budget!L53</f>
        <v>0</v>
      </c>
      <c r="M22" s="546">
        <f>Budget!L29+Budget!L53</f>
        <v>0</v>
      </c>
      <c r="N22" s="512">
        <f>Worksheet!E55</f>
        <v>0</v>
      </c>
      <c r="O22" s="534">
        <f>Budget!F29*12</f>
        <v>0</v>
      </c>
      <c r="P22" s="549">
        <f>Budget!M29</f>
        <v>0</v>
      </c>
      <c r="Q22" s="549">
        <f>Budget!M53</f>
        <v>0</v>
      </c>
      <c r="R22" s="545">
        <f>Budget!M29+Budget!M53</f>
        <v>0</v>
      </c>
      <c r="S22" s="511">
        <f>Worksheet!F55</f>
        <v>0</v>
      </c>
      <c r="T22" s="86">
        <f>Budget!G29*12</f>
        <v>0</v>
      </c>
      <c r="U22" s="551">
        <f>Budget!N29</f>
        <v>0</v>
      </c>
      <c r="V22" s="551">
        <f>Budget!N53</f>
        <v>0</v>
      </c>
      <c r="W22" s="546">
        <f>Budget!N29+Budget!N53</f>
        <v>0</v>
      </c>
      <c r="X22" s="512">
        <f>Worksheet!G55</f>
        <v>0</v>
      </c>
      <c r="Y22" s="534">
        <f>Budget!H29*12</f>
        <v>0</v>
      </c>
      <c r="Z22" s="549">
        <f>Budget!O29</f>
        <v>0</v>
      </c>
      <c r="AA22" s="549">
        <f>Budget!O53</f>
        <v>0</v>
      </c>
      <c r="AB22" s="545">
        <f>Budget!O29+Budget!O53</f>
        <v>0</v>
      </c>
    </row>
    <row r="23" spans="1:33" ht="13.5" thickBot="1" x14ac:dyDescent="0.25">
      <c r="A23" s="32">
        <f>Budget!A30</f>
        <v>20</v>
      </c>
      <c r="B23" s="493"/>
      <c r="C23" s="493" t="s">
        <v>323</v>
      </c>
      <c r="D23" s="513">
        <f>Budget!C30</f>
        <v>0</v>
      </c>
      <c r="E23" s="537">
        <f>Budget!D30*12</f>
        <v>0</v>
      </c>
      <c r="F23" s="550">
        <f>Budget!K30</f>
        <v>0</v>
      </c>
      <c r="G23" s="550">
        <f>Budget!K54</f>
        <v>0</v>
      </c>
      <c r="H23" s="547">
        <f>Budget!K30+Budget!K54</f>
        <v>0</v>
      </c>
      <c r="I23" s="514">
        <f>Worksheet!D56</f>
        <v>0</v>
      </c>
      <c r="J23" s="541">
        <f>Budget!E30*12</f>
        <v>0</v>
      </c>
      <c r="K23" s="552">
        <f>Budget!L30</f>
        <v>0</v>
      </c>
      <c r="L23" s="552">
        <f>Budget!L54</f>
        <v>0</v>
      </c>
      <c r="M23" s="548">
        <f>Budget!L30+Budget!L54</f>
        <v>0</v>
      </c>
      <c r="N23" s="515">
        <f>Worksheet!E56</f>
        <v>0</v>
      </c>
      <c r="O23" s="537">
        <f>Budget!F30*12</f>
        <v>0</v>
      </c>
      <c r="P23" s="550">
        <f>Budget!M30</f>
        <v>0</v>
      </c>
      <c r="Q23" s="550">
        <f>Budget!M54</f>
        <v>0</v>
      </c>
      <c r="R23" s="547">
        <f>Budget!M30+Budget!M54</f>
        <v>0</v>
      </c>
      <c r="S23" s="514">
        <f>Worksheet!F56</f>
        <v>0</v>
      </c>
      <c r="T23" s="541">
        <f>Budget!G30*12</f>
        <v>0</v>
      </c>
      <c r="U23" s="552">
        <f>Budget!N30</f>
        <v>0</v>
      </c>
      <c r="V23" s="552">
        <f>Budget!N54</f>
        <v>0</v>
      </c>
      <c r="W23" s="548">
        <f>Budget!N30+Budget!N54</f>
        <v>0</v>
      </c>
      <c r="X23" s="515">
        <f>Worksheet!G56</f>
        <v>0</v>
      </c>
      <c r="Y23" s="537">
        <f>Budget!H30*12</f>
        <v>0</v>
      </c>
      <c r="Z23" s="550">
        <f>Budget!O30</f>
        <v>0</v>
      </c>
      <c r="AA23" s="550">
        <f>Budget!O54</f>
        <v>0</v>
      </c>
      <c r="AB23" s="547">
        <f>Budget!O30+Budget!O54</f>
        <v>0</v>
      </c>
    </row>
    <row r="24" spans="1:33" ht="13.5" thickBot="1" x14ac:dyDescent="0.25"/>
    <row r="25" spans="1:33" ht="15" customHeight="1" x14ac:dyDescent="0.2">
      <c r="A25" s="794" t="s">
        <v>329</v>
      </c>
      <c r="B25" s="795"/>
      <c r="C25" s="796"/>
      <c r="D25" s="785" t="s">
        <v>121</v>
      </c>
      <c r="E25" s="786"/>
      <c r="F25" s="786"/>
      <c r="G25" s="786"/>
      <c r="H25" s="787"/>
      <c r="I25" s="788" t="s">
        <v>4</v>
      </c>
      <c r="J25" s="789"/>
      <c r="K25" s="789"/>
      <c r="L25" s="789"/>
      <c r="M25" s="790"/>
      <c r="N25" s="785" t="s">
        <v>5</v>
      </c>
      <c r="O25" s="786"/>
      <c r="P25" s="786"/>
      <c r="Q25" s="786"/>
      <c r="R25" s="787"/>
      <c r="S25" s="788" t="s">
        <v>6</v>
      </c>
      <c r="T25" s="789"/>
      <c r="U25" s="789"/>
      <c r="V25" s="789"/>
      <c r="W25" s="790"/>
      <c r="X25" s="785" t="s">
        <v>7</v>
      </c>
      <c r="Y25" s="786"/>
      <c r="Z25" s="786"/>
      <c r="AA25" s="786"/>
      <c r="AB25" s="787"/>
      <c r="AC25" s="800" t="s">
        <v>338</v>
      </c>
      <c r="AD25" s="801"/>
      <c r="AE25" s="801"/>
      <c r="AF25" s="801"/>
      <c r="AG25" s="802"/>
    </row>
    <row r="26" spans="1:33" x14ac:dyDescent="0.2">
      <c r="A26" s="797"/>
      <c r="B26" s="798"/>
      <c r="C26" s="799"/>
      <c r="D26" s="563"/>
      <c r="E26" s="564" t="s">
        <v>295</v>
      </c>
      <c r="F26" s="565" t="s">
        <v>12</v>
      </c>
      <c r="G26" s="565" t="s">
        <v>331</v>
      </c>
      <c r="H26" s="566" t="s">
        <v>332</v>
      </c>
      <c r="I26" s="60"/>
      <c r="J26" s="561" t="s">
        <v>295</v>
      </c>
      <c r="K26" s="554" t="s">
        <v>12</v>
      </c>
      <c r="L26" s="554" t="s">
        <v>331</v>
      </c>
      <c r="M26" s="556" t="s">
        <v>332</v>
      </c>
      <c r="N26" s="563"/>
      <c r="O26" s="564" t="s">
        <v>295</v>
      </c>
      <c r="P26" s="565" t="s">
        <v>12</v>
      </c>
      <c r="Q26" s="565" t="s">
        <v>331</v>
      </c>
      <c r="R26" s="566" t="s">
        <v>332</v>
      </c>
      <c r="S26" s="60"/>
      <c r="T26" s="561" t="s">
        <v>295</v>
      </c>
      <c r="U26" s="554" t="s">
        <v>12</v>
      </c>
      <c r="V26" s="554" t="s">
        <v>331</v>
      </c>
      <c r="W26" s="556" t="s">
        <v>332</v>
      </c>
      <c r="X26" s="563"/>
      <c r="Y26" s="564" t="s">
        <v>295</v>
      </c>
      <c r="Z26" s="565" t="s">
        <v>12</v>
      </c>
      <c r="AA26" s="565" t="s">
        <v>331</v>
      </c>
      <c r="AB26" s="566" t="s">
        <v>332</v>
      </c>
      <c r="AC26" s="580"/>
      <c r="AD26" s="581" t="s">
        <v>295</v>
      </c>
      <c r="AE26" s="582" t="s">
        <v>12</v>
      </c>
      <c r="AF26" s="582" t="s">
        <v>331</v>
      </c>
      <c r="AG26" s="583" t="s">
        <v>332</v>
      </c>
    </row>
    <row r="27" spans="1:33" ht="15" customHeight="1" thickBot="1" x14ac:dyDescent="0.25">
      <c r="A27" s="791" t="s">
        <v>330</v>
      </c>
      <c r="B27" s="792"/>
      <c r="C27" s="793"/>
      <c r="D27" s="570"/>
      <c r="E27" s="571">
        <f>SUMIF($C$4:$C$23,"Senior/Key",E4:E23)</f>
        <v>0</v>
      </c>
      <c r="F27" s="572">
        <f>SUMIF($C$4:$C$23,"Senior/Key",F4:F23)</f>
        <v>0</v>
      </c>
      <c r="G27" s="572">
        <f t="shared" ref="G27:H27" si="0">SUMIF($C$4:$C$23,"Senior/Key",G4:G23)</f>
        <v>0</v>
      </c>
      <c r="H27" s="573">
        <f t="shared" si="0"/>
        <v>0</v>
      </c>
      <c r="I27" s="557"/>
      <c r="J27" s="558">
        <f>SUMIF($C$4:$C$23,"Senior/Key",J4:J23)</f>
        <v>0</v>
      </c>
      <c r="K27" s="559">
        <f>SUMIF($C$4:$C$23,"Senior/Key",K4:K23)</f>
        <v>0</v>
      </c>
      <c r="L27" s="559">
        <f>SUMIF($C$4:$C$23,"Senior/Key",L4:L23)</f>
        <v>0</v>
      </c>
      <c r="M27" s="560">
        <f>SUMIF($C$4:$C$23,"Senior/Key",M4:M23)</f>
        <v>0</v>
      </c>
      <c r="N27" s="570"/>
      <c r="O27" s="571">
        <f>SUMIF($C$4:$C$23,"Senior/Key",O4:O23)</f>
        <v>0</v>
      </c>
      <c r="P27" s="572">
        <f>SUMIF($C$4:$C$23,"Senior/Key",P4:P23)</f>
        <v>0</v>
      </c>
      <c r="Q27" s="572">
        <f>SUMIF($C$4:$C$23,"Senior/Key",Q4:Q23)</f>
        <v>0</v>
      </c>
      <c r="R27" s="573">
        <f>SUMIF($C$4:$C$23,"Senior/Key",R4:R23)</f>
        <v>0</v>
      </c>
      <c r="S27" s="557"/>
      <c r="T27" s="558">
        <f>SUMIF($C$4:$C$23,"Senior/Key",T4:T23)</f>
        <v>0</v>
      </c>
      <c r="U27" s="559">
        <f>SUMIF($C$4:$C$23,"Senior/Key",U4:U23)</f>
        <v>0</v>
      </c>
      <c r="V27" s="559">
        <f>SUMIF($C$4:$C$23,"Senior/Key",V4:V23)</f>
        <v>0</v>
      </c>
      <c r="W27" s="560">
        <f>SUMIF($C$4:$C$23,"Senior/Key",W4:W23)</f>
        <v>0</v>
      </c>
      <c r="X27" s="570"/>
      <c r="Y27" s="571">
        <f>SUMIF($C$4:$C$23,"Senior/Key",Y4:Y23)</f>
        <v>0</v>
      </c>
      <c r="Z27" s="572">
        <f>SUMIF($C$4:$C$23,"Senior/Key",Z4:Z23)</f>
        <v>0</v>
      </c>
      <c r="AA27" s="572">
        <f>SUMIF($C$4:$C$23,"Senior/Key",AA4:AA23)</f>
        <v>0</v>
      </c>
      <c r="AB27" s="573">
        <f>SUMIF($C$4:$C$23,"Senior/Key",AB4:AB23)</f>
        <v>0</v>
      </c>
      <c r="AC27" s="584"/>
      <c r="AD27" s="585">
        <f>E27+J27+O27+T27+Y27</f>
        <v>0</v>
      </c>
      <c r="AE27" s="586">
        <f t="shared" ref="AE27:AF27" si="1">F27+K27+P27+U27+Z27</f>
        <v>0</v>
      </c>
      <c r="AF27" s="586">
        <f t="shared" si="1"/>
        <v>0</v>
      </c>
      <c r="AG27" s="587">
        <f>AE27+AF27</f>
        <v>0</v>
      </c>
    </row>
    <row r="28" spans="1:33" ht="13.5" thickBot="1" x14ac:dyDescent="0.25"/>
    <row r="29" spans="1:33" ht="15" customHeight="1" thickBot="1" x14ac:dyDescent="0.25">
      <c r="A29" s="794" t="s">
        <v>328</v>
      </c>
      <c r="B29" s="795"/>
      <c r="C29" s="796"/>
      <c r="D29" s="785" t="s">
        <v>121</v>
      </c>
      <c r="E29" s="786"/>
      <c r="F29" s="786"/>
      <c r="G29" s="786"/>
      <c r="H29" s="787"/>
      <c r="I29" s="789" t="s">
        <v>4</v>
      </c>
      <c r="J29" s="789"/>
      <c r="K29" s="789"/>
      <c r="L29" s="789"/>
      <c r="M29" s="790"/>
      <c r="N29" s="785" t="s">
        <v>5</v>
      </c>
      <c r="O29" s="786"/>
      <c r="P29" s="786"/>
      <c r="Q29" s="786"/>
      <c r="R29" s="787"/>
      <c r="S29" s="788" t="s">
        <v>6</v>
      </c>
      <c r="T29" s="789"/>
      <c r="U29" s="789"/>
      <c r="V29" s="789"/>
      <c r="W29" s="790"/>
      <c r="X29" s="785" t="s">
        <v>7</v>
      </c>
      <c r="Y29" s="786"/>
      <c r="Z29" s="786"/>
      <c r="AA29" s="786"/>
      <c r="AB29" s="786"/>
      <c r="AC29" s="800" t="s">
        <v>338</v>
      </c>
      <c r="AD29" s="801"/>
      <c r="AE29" s="801"/>
      <c r="AF29" s="801"/>
      <c r="AG29" s="802"/>
    </row>
    <row r="30" spans="1:33" x14ac:dyDescent="0.2">
      <c r="A30" s="797"/>
      <c r="B30" s="798"/>
      <c r="C30" s="799"/>
      <c r="D30" s="563"/>
      <c r="E30" s="564" t="s">
        <v>295</v>
      </c>
      <c r="F30" s="565" t="s">
        <v>12</v>
      </c>
      <c r="G30" s="565" t="s">
        <v>331</v>
      </c>
      <c r="H30" s="566" t="s">
        <v>332</v>
      </c>
      <c r="I30" s="52"/>
      <c r="J30" s="561" t="s">
        <v>295</v>
      </c>
      <c r="K30" s="554" t="s">
        <v>12</v>
      </c>
      <c r="L30" s="554" t="s">
        <v>331</v>
      </c>
      <c r="M30" s="556" t="s">
        <v>332</v>
      </c>
      <c r="N30" s="563"/>
      <c r="O30" s="564" t="s">
        <v>295</v>
      </c>
      <c r="P30" s="565" t="s">
        <v>12</v>
      </c>
      <c r="Q30" s="565" t="s">
        <v>331</v>
      </c>
      <c r="R30" s="566" t="s">
        <v>332</v>
      </c>
      <c r="S30" s="60"/>
      <c r="T30" s="561" t="s">
        <v>295</v>
      </c>
      <c r="U30" s="554" t="s">
        <v>12</v>
      </c>
      <c r="V30" s="554" t="s">
        <v>331</v>
      </c>
      <c r="W30" s="556" t="s">
        <v>332</v>
      </c>
      <c r="X30" s="563"/>
      <c r="Y30" s="564" t="s">
        <v>295</v>
      </c>
      <c r="Z30" s="565" t="s">
        <v>12</v>
      </c>
      <c r="AA30" s="565" t="s">
        <v>331</v>
      </c>
      <c r="AB30" s="578" t="s">
        <v>332</v>
      </c>
      <c r="AC30" s="588"/>
      <c r="AD30" s="589" t="s">
        <v>295</v>
      </c>
      <c r="AE30" s="590" t="s">
        <v>12</v>
      </c>
      <c r="AF30" s="590" t="s">
        <v>331</v>
      </c>
      <c r="AG30" s="591" t="s">
        <v>332</v>
      </c>
    </row>
    <row r="31" spans="1:33" ht="15" customHeight="1" x14ac:dyDescent="0.2">
      <c r="A31" s="803" t="s">
        <v>323</v>
      </c>
      <c r="B31" s="804"/>
      <c r="C31" s="805"/>
      <c r="D31" s="563"/>
      <c r="E31" s="567">
        <f>SUMIF($C$4:$C$23,"Other 1",E$4:E$23)</f>
        <v>0</v>
      </c>
      <c r="F31" s="568">
        <f>SUMIF($C$4:$C$23,"Other 1",F$4:F$23)</f>
        <v>0</v>
      </c>
      <c r="G31" s="568">
        <f>SUMIF($C$4:$C$23,"Other 1",G$4:G$23)</f>
        <v>0</v>
      </c>
      <c r="H31" s="569">
        <f>SUMIF($C$4:$C$23,"Other 1",H$4:H$23)</f>
        <v>0</v>
      </c>
      <c r="I31" s="60"/>
      <c r="J31" s="137">
        <f>SUMIF($C$4:$C$23,"Other 1",J$4:J$23)</f>
        <v>0</v>
      </c>
      <c r="K31" s="555">
        <f>SUMIF($C$4:$C$23,"Other 1",K$4:K$23)</f>
        <v>0</v>
      </c>
      <c r="L31" s="555">
        <f>SUMIF($C$4:$C$23,"Other 1",L$4:L$23)</f>
        <v>0</v>
      </c>
      <c r="M31" s="562">
        <f>SUMIF($C$4:$C$23,"Other 1",M$4:M$23)</f>
        <v>0</v>
      </c>
      <c r="N31" s="563"/>
      <c r="O31" s="567">
        <f>SUMIF($C$4:$C$23,"Other 1",O$4:O$23)</f>
        <v>0</v>
      </c>
      <c r="P31" s="568">
        <f>SUMIF($C$4:$C$23,"Other 1",P$4:P$23)</f>
        <v>0</v>
      </c>
      <c r="Q31" s="568">
        <f>SUMIF($C$4:$C$23,"Other 1",Q$4:Q$23)</f>
        <v>0</v>
      </c>
      <c r="R31" s="569">
        <f>SUMIF($C$4:$C$23,"Other 1",R$4:R$23)</f>
        <v>0</v>
      </c>
      <c r="S31" s="60"/>
      <c r="T31" s="137">
        <f>SUMIF($C$4:$C$23,"Other 1",T$4:T$23)</f>
        <v>0</v>
      </c>
      <c r="U31" s="555">
        <f>SUMIF($C$4:$C$23,"Other 1",U$4:U$23)</f>
        <v>0</v>
      </c>
      <c r="V31" s="555">
        <f>SUMIF($C$4:$C$23,"Other 1",V$4:V$23)</f>
        <v>0</v>
      </c>
      <c r="W31" s="562">
        <f>SUMIF($C$4:$C$23,"Other 1",W$4:W$23)</f>
        <v>0</v>
      </c>
      <c r="X31" s="563"/>
      <c r="Y31" s="567">
        <f>SUMIF($C$4:$C$23,"Other 1",Y$4:Y$23)</f>
        <v>0</v>
      </c>
      <c r="Z31" s="568">
        <f>SUMIF($C$4:$C$23,"Other 1",Z$4:Z$23)</f>
        <v>0</v>
      </c>
      <c r="AA31" s="568">
        <f>SUMIF($C$4:$C$23,"Other 1",AA$4:AA$23)</f>
        <v>0</v>
      </c>
      <c r="AB31" s="579">
        <f>SUMIF($C$4:$C$23,"Other 1",AB$4:AB$23)</f>
        <v>0</v>
      </c>
      <c r="AC31" s="580"/>
      <c r="AD31" s="592">
        <f t="shared" ref="AD31:AD38" si="2">E31+J31+O31+T31+Y31</f>
        <v>0</v>
      </c>
      <c r="AE31" s="593">
        <f t="shared" ref="AE31:AE38" si="3">F31+K31+P31+U31+Z31</f>
        <v>0</v>
      </c>
      <c r="AF31" s="593">
        <f t="shared" ref="AF31:AF38" si="4">G31+L31+Q31+V31+AA31</f>
        <v>0</v>
      </c>
      <c r="AG31" s="594">
        <f t="shared" ref="AG31:AG38" si="5">AE31+AF31</f>
        <v>0</v>
      </c>
    </row>
    <row r="32" spans="1:33" ht="15" customHeight="1" x14ac:dyDescent="0.2">
      <c r="A32" s="803" t="s">
        <v>324</v>
      </c>
      <c r="B32" s="804"/>
      <c r="C32" s="805"/>
      <c r="D32" s="563"/>
      <c r="E32" s="567">
        <f>SUMIF($C$4:$C$23,"Other 2",E$4:E$23)</f>
        <v>0</v>
      </c>
      <c r="F32" s="568">
        <f>SUMIF($C$4:$C$23,"Other 2",F$4:F$23)</f>
        <v>0</v>
      </c>
      <c r="G32" s="568">
        <f>SUMIF($C$4:$C$23,"Other 2",G$4:G$23)</f>
        <v>0</v>
      </c>
      <c r="H32" s="569">
        <f>SUMIF($C$4:$C$23,"Other 2",H$4:H$23)</f>
        <v>0</v>
      </c>
      <c r="I32" s="60"/>
      <c r="J32" s="137">
        <f>SUMIF($C$4:$C$23,"Other 2",J$4:J$23)</f>
        <v>0</v>
      </c>
      <c r="K32" s="555">
        <f>SUMIF($C$4:$C$23,"Other 2",K$4:K$23)</f>
        <v>0</v>
      </c>
      <c r="L32" s="555">
        <f>SUMIF($C$4:$C$23,"Other 2",L$4:L$23)</f>
        <v>0</v>
      </c>
      <c r="M32" s="562">
        <f>SUMIF($C$4:$C$23,"Other 2",M$4:M$23)</f>
        <v>0</v>
      </c>
      <c r="N32" s="563"/>
      <c r="O32" s="567">
        <f>SUMIF($C$4:$C$23,"Other 2",O$4:O$23)</f>
        <v>0</v>
      </c>
      <c r="P32" s="568">
        <f>SUMIF($C$4:$C$23,"Other 2",P$4:P$23)</f>
        <v>0</v>
      </c>
      <c r="Q32" s="568">
        <f>SUMIF($C$4:$C$23,"Other 2",Q$4:Q$23)</f>
        <v>0</v>
      </c>
      <c r="R32" s="569">
        <f>SUMIF($C$4:$C$23,"Other 2",R$4:R$23)</f>
        <v>0</v>
      </c>
      <c r="S32" s="60"/>
      <c r="T32" s="137">
        <f>SUMIF($C$4:$C$23,"Other 2",T$4:T$23)</f>
        <v>0</v>
      </c>
      <c r="U32" s="555">
        <f>SUMIF($C$4:$C$23,"Other 2",U$4:U$23)</f>
        <v>0</v>
      </c>
      <c r="V32" s="555">
        <f>SUMIF($C$4:$C$23,"Other 2",V$4:V$23)</f>
        <v>0</v>
      </c>
      <c r="W32" s="562">
        <f>SUMIF($C$4:$C$23,"Other 2",W$4:W$23)</f>
        <v>0</v>
      </c>
      <c r="X32" s="563"/>
      <c r="Y32" s="567">
        <f>SUMIF($C$4:$C$23,"Other 2",Y$4:Y$23)</f>
        <v>0</v>
      </c>
      <c r="Z32" s="568">
        <f>SUMIF($C$4:$C$23,"Other 2",Z$4:Z$23)</f>
        <v>0</v>
      </c>
      <c r="AA32" s="568">
        <f>SUMIF($C$4:$C$23,"Other 2",AA$4:AA$23)</f>
        <v>0</v>
      </c>
      <c r="AB32" s="579">
        <f>SUMIF($C$4:$C$23,"Other 2",AB$4:AB$23)</f>
        <v>0</v>
      </c>
      <c r="AC32" s="580"/>
      <c r="AD32" s="592">
        <f t="shared" si="2"/>
        <v>0</v>
      </c>
      <c r="AE32" s="593">
        <f t="shared" si="3"/>
        <v>0</v>
      </c>
      <c r="AF32" s="593">
        <f t="shared" si="4"/>
        <v>0</v>
      </c>
      <c r="AG32" s="594">
        <f t="shared" si="5"/>
        <v>0</v>
      </c>
    </row>
    <row r="33" spans="1:33" ht="15" customHeight="1" x14ac:dyDescent="0.2">
      <c r="A33" s="803" t="s">
        <v>325</v>
      </c>
      <c r="B33" s="804"/>
      <c r="C33" s="805"/>
      <c r="D33" s="563"/>
      <c r="E33" s="567">
        <f>SUMIF($C$4:$C$23,"Other 3",E$4:E$23)</f>
        <v>0</v>
      </c>
      <c r="F33" s="568">
        <f>SUMIF($C$4:$C$23,"Other 3",F$4:F$23)</f>
        <v>0</v>
      </c>
      <c r="G33" s="568">
        <f>SUMIF($C$4:$C$23,"Other 3",G$4:G$23)</f>
        <v>0</v>
      </c>
      <c r="H33" s="569">
        <f>SUMIF($C$4:$C$23,"Other 3",H$4:H$23)</f>
        <v>0</v>
      </c>
      <c r="I33" s="60"/>
      <c r="J33" s="137">
        <f>SUMIF($C$4:$C$23,"Other 3",J$4:J$23)</f>
        <v>0</v>
      </c>
      <c r="K33" s="555">
        <f>SUMIF($C$4:$C$23,"Other 3",K$4:K$23)</f>
        <v>0</v>
      </c>
      <c r="L33" s="555">
        <f>SUMIF($C$4:$C$23,"Other 3",L$4:L$23)</f>
        <v>0</v>
      </c>
      <c r="M33" s="562">
        <f>SUMIF($C$4:$C$23,"Other 3",M$4:M$23)</f>
        <v>0</v>
      </c>
      <c r="N33" s="563"/>
      <c r="O33" s="567">
        <f>SUMIF($C$4:$C$23,"Other 3",O$4:O$23)</f>
        <v>0</v>
      </c>
      <c r="P33" s="568">
        <f>SUMIF($C$4:$C$23,"Other 3",P$4:P$23)</f>
        <v>0</v>
      </c>
      <c r="Q33" s="568">
        <f>SUMIF($C$4:$C$23,"Other 3",Q$4:Q$23)</f>
        <v>0</v>
      </c>
      <c r="R33" s="569">
        <f>SUMIF($C$4:$C$23,"Other 3",R$4:R$23)</f>
        <v>0</v>
      </c>
      <c r="S33" s="60"/>
      <c r="T33" s="137">
        <f>SUMIF($C$4:$C$23,"Other 3",T$4:T$23)</f>
        <v>0</v>
      </c>
      <c r="U33" s="555">
        <f>SUMIF($C$4:$C$23,"Other 3",U$4:U$23)</f>
        <v>0</v>
      </c>
      <c r="V33" s="555">
        <f>SUMIF($C$4:$C$23,"Other 3",V$4:V$23)</f>
        <v>0</v>
      </c>
      <c r="W33" s="562">
        <f>SUMIF($C$4:$C$23,"Other 3",W$4:W$23)</f>
        <v>0</v>
      </c>
      <c r="X33" s="563"/>
      <c r="Y33" s="567">
        <f>SUMIF($C$4:$C$23,"Other 3",Y$4:Y$23)</f>
        <v>0</v>
      </c>
      <c r="Z33" s="568">
        <f>SUMIF($C$4:$C$23,"Other 3",Z$4:Z$23)</f>
        <v>0</v>
      </c>
      <c r="AA33" s="568">
        <f>SUMIF($C$4:$C$23,"Other 3",AA$4:AA$23)</f>
        <v>0</v>
      </c>
      <c r="AB33" s="579">
        <f>SUMIF($C$4:$C$23,"Other 3",AB$4:AB$23)</f>
        <v>0</v>
      </c>
      <c r="AC33" s="580"/>
      <c r="AD33" s="592">
        <f t="shared" si="2"/>
        <v>0</v>
      </c>
      <c r="AE33" s="593">
        <f t="shared" si="3"/>
        <v>0</v>
      </c>
      <c r="AF33" s="593">
        <f t="shared" si="4"/>
        <v>0</v>
      </c>
      <c r="AG33" s="594">
        <f t="shared" si="5"/>
        <v>0</v>
      </c>
    </row>
    <row r="34" spans="1:33" ht="15" customHeight="1" x14ac:dyDescent="0.2">
      <c r="A34" s="803" t="s">
        <v>326</v>
      </c>
      <c r="B34" s="804"/>
      <c r="C34" s="805"/>
      <c r="D34" s="563"/>
      <c r="E34" s="567">
        <f>SUMIF($C$4:$C$23,"Other 4",E$4:E$23)</f>
        <v>0</v>
      </c>
      <c r="F34" s="568">
        <f>SUMIF($C$4:$C$23,"Other 4",F$4:F$23)</f>
        <v>0</v>
      </c>
      <c r="G34" s="568">
        <f>SUMIF($C$4:$C$23,"Other 4",G$4:G$23)</f>
        <v>0</v>
      </c>
      <c r="H34" s="569">
        <f>SUMIF($C$4:$C$23,"Other 4",H$4:H$23)</f>
        <v>0</v>
      </c>
      <c r="I34" s="60"/>
      <c r="J34" s="137">
        <f>SUMIF($C$4:$C$23,"Other 4",J$4:J$23)</f>
        <v>0</v>
      </c>
      <c r="K34" s="555">
        <f>SUMIF($C$4:$C$23,"Other 4",K$4:K$23)</f>
        <v>0</v>
      </c>
      <c r="L34" s="555">
        <f>SUMIF($C$4:$C$23,"Other 4",L$4:L$23)</f>
        <v>0</v>
      </c>
      <c r="M34" s="562">
        <f>SUMIF($C$4:$C$23,"Other 4",M$4:M$23)</f>
        <v>0</v>
      </c>
      <c r="N34" s="563"/>
      <c r="O34" s="567">
        <f>SUMIF($C$4:$C$23,"Other 4",O$4:O$23)</f>
        <v>0</v>
      </c>
      <c r="P34" s="568">
        <f>SUMIF($C$4:$C$23,"Other 4",P$4:P$23)</f>
        <v>0</v>
      </c>
      <c r="Q34" s="568">
        <f>SUMIF($C$4:$C$23,"Other 4",Q$4:Q$23)</f>
        <v>0</v>
      </c>
      <c r="R34" s="569">
        <f>SUMIF($C$4:$C$23,"Other 4",R$4:R$23)</f>
        <v>0</v>
      </c>
      <c r="S34" s="60"/>
      <c r="T34" s="137">
        <f>SUMIF($C$4:$C$23,"Other 4",T$4:T$23)</f>
        <v>0</v>
      </c>
      <c r="U34" s="555">
        <f>SUMIF($C$4:$C$23,"Other 4",U$4:U$23)</f>
        <v>0</v>
      </c>
      <c r="V34" s="555">
        <f>SUMIF($C$4:$C$23,"Other 4",V$4:V$23)</f>
        <v>0</v>
      </c>
      <c r="W34" s="562">
        <f>SUMIF($C$4:$C$23,"Other 4",W$4:W$23)</f>
        <v>0</v>
      </c>
      <c r="X34" s="563"/>
      <c r="Y34" s="567">
        <f>SUMIF($C$4:$C$23,"Other 4",Y$4:Y$23)</f>
        <v>0</v>
      </c>
      <c r="Z34" s="568">
        <f>SUMIF($C$4:$C$23,"Other 4",Z$4:Z$23)</f>
        <v>0</v>
      </c>
      <c r="AA34" s="568">
        <f>SUMIF($C$4:$C$23,"Other 4",AA$4:AA$23)</f>
        <v>0</v>
      </c>
      <c r="AB34" s="579">
        <f>SUMIF($C$4:$C$23,"Other 4",AB$4:AB$23)</f>
        <v>0</v>
      </c>
      <c r="AC34" s="580"/>
      <c r="AD34" s="592">
        <f t="shared" si="2"/>
        <v>0</v>
      </c>
      <c r="AE34" s="593">
        <f t="shared" si="3"/>
        <v>0</v>
      </c>
      <c r="AF34" s="593">
        <f>G34+L34+Q34+V34+AA34</f>
        <v>0</v>
      </c>
      <c r="AG34" s="594">
        <f t="shared" si="5"/>
        <v>0</v>
      </c>
    </row>
    <row r="35" spans="1:33" ht="15" customHeight="1" x14ac:dyDescent="0.2">
      <c r="A35" s="803" t="s">
        <v>316</v>
      </c>
      <c r="B35" s="804"/>
      <c r="C35" s="805"/>
      <c r="D35" s="563"/>
      <c r="E35" s="567">
        <f>SUMIF($C$4:$C$23,"Postdoc",E$4:E$23)</f>
        <v>0</v>
      </c>
      <c r="F35" s="568">
        <f>SUMIF($C$4:$C$23,"Postdoc",F$4:F$23)</f>
        <v>0</v>
      </c>
      <c r="G35" s="568">
        <f>SUMIF($C$4:$C$23,"Postdoc",G$4:G$23)</f>
        <v>0</v>
      </c>
      <c r="H35" s="569">
        <f>SUMIF($C$4:$C$23,"Postdoc",H$4:H$23)</f>
        <v>0</v>
      </c>
      <c r="I35" s="60"/>
      <c r="J35" s="137">
        <f>SUMIF($C$4:$C$23,"Postdoc",J$4:J$23)</f>
        <v>0</v>
      </c>
      <c r="K35" s="555">
        <f>SUMIF($C$4:$C$23,"Postdoc",K$4:K$23)</f>
        <v>0</v>
      </c>
      <c r="L35" s="555">
        <f>SUMIF($C$4:$C$23,"Postdoc",L$4:L$23)</f>
        <v>0</v>
      </c>
      <c r="M35" s="562">
        <f>SUMIF($C$4:$C$23,"Postdoc",M$4:M$23)</f>
        <v>0</v>
      </c>
      <c r="N35" s="563"/>
      <c r="O35" s="567">
        <f>SUMIF($C$4:$C$23,"Postdoc",O$4:O$23)</f>
        <v>0</v>
      </c>
      <c r="P35" s="568">
        <f>SUMIF($C$4:$C$23,"Postdoc",P$4:P$23)</f>
        <v>0</v>
      </c>
      <c r="Q35" s="568">
        <f>SUMIF($C$4:$C$23,"Postdoc",Q$4:Q$23)</f>
        <v>0</v>
      </c>
      <c r="R35" s="569">
        <f>SUMIF($C$4:$C$23,"Postdoc",R$4:R$23)</f>
        <v>0</v>
      </c>
      <c r="S35" s="60"/>
      <c r="T35" s="137">
        <f>SUMIF($C$4:$C$23,"Postdoc",T$4:T$23)</f>
        <v>0</v>
      </c>
      <c r="U35" s="555">
        <f>SUMIF($C$4:$C$23,"Postdoc",U$4:U$23)</f>
        <v>0</v>
      </c>
      <c r="V35" s="555">
        <f>SUMIF($C$4:$C$23,"Postdoc",V$4:V$23)</f>
        <v>0</v>
      </c>
      <c r="W35" s="562">
        <f>SUMIF($C$4:$C$23,"Postdoc",W$4:W$23)</f>
        <v>0</v>
      </c>
      <c r="X35" s="563"/>
      <c r="Y35" s="567">
        <f>SUMIF($C$4:$C$23,"Postdoc",Y$4:Y$23)</f>
        <v>0</v>
      </c>
      <c r="Z35" s="568">
        <f>SUMIF($C$4:$C$23,"Postdoc",Z$4:Z$23)</f>
        <v>0</v>
      </c>
      <c r="AA35" s="568">
        <f>SUMIF($C$4:$C$23,"Postdoc",AA$4:AA$23)</f>
        <v>0</v>
      </c>
      <c r="AB35" s="579">
        <f>SUMIF($C$4:$C$23,"Postdoc",AB$4:AB$23)</f>
        <v>0</v>
      </c>
      <c r="AC35" s="580"/>
      <c r="AD35" s="592">
        <f>E35+J35+O35+T35+Y35</f>
        <v>0</v>
      </c>
      <c r="AE35" s="593">
        <f t="shared" si="3"/>
        <v>0</v>
      </c>
      <c r="AF35" s="593">
        <f t="shared" si="4"/>
        <v>0</v>
      </c>
      <c r="AG35" s="594">
        <f t="shared" si="5"/>
        <v>0</v>
      </c>
    </row>
    <row r="36" spans="1:33" ht="15" customHeight="1" x14ac:dyDescent="0.2">
      <c r="A36" s="803" t="s">
        <v>317</v>
      </c>
      <c r="B36" s="804"/>
      <c r="C36" s="805"/>
      <c r="D36" s="563"/>
      <c r="E36" s="567">
        <f>SUMIF($C$4:$C$23,"GSR",E$4:E$23)</f>
        <v>0</v>
      </c>
      <c r="F36" s="568">
        <f>SUMIF($C$4:$C$23,"GSR",F$4:F$23)</f>
        <v>0</v>
      </c>
      <c r="G36" s="568">
        <f>SUMIF($C$4:$C$23,"GSR",G$4:G$23)</f>
        <v>0</v>
      </c>
      <c r="H36" s="569">
        <f>SUMIF($C$4:$C$23,"GSR",H$4:H$23)</f>
        <v>0</v>
      </c>
      <c r="I36" s="60"/>
      <c r="J36" s="137">
        <f>SUMIF($C$4:$C$23,"GSR",J$4:J$23)</f>
        <v>0</v>
      </c>
      <c r="K36" s="555">
        <f>SUMIF($C$4:$C$23,"GSR",K$4:K$23)</f>
        <v>0</v>
      </c>
      <c r="L36" s="555">
        <f>SUMIF($C$4:$C$23,"GSR",L$4:L$23)</f>
        <v>0</v>
      </c>
      <c r="M36" s="562">
        <f>SUMIF($C$4:$C$23,"GSR",M$4:M$23)</f>
        <v>0</v>
      </c>
      <c r="N36" s="563"/>
      <c r="O36" s="567">
        <f>SUMIF($C$4:$C$23,"GSR",O$4:O$23)</f>
        <v>0</v>
      </c>
      <c r="P36" s="568">
        <f>SUMIF($C$4:$C$23,"GSR",P$4:P$23)</f>
        <v>0</v>
      </c>
      <c r="Q36" s="568">
        <f>SUMIF($C$4:$C$23,"GSR",Q$4:Q$23)</f>
        <v>0</v>
      </c>
      <c r="R36" s="569">
        <f>SUMIF($C$4:$C$23,"GSR",R$4:R$23)</f>
        <v>0</v>
      </c>
      <c r="S36" s="60"/>
      <c r="T36" s="137">
        <f>SUMIF($C$4:$C$23,"GSR",T$4:T$23)</f>
        <v>0</v>
      </c>
      <c r="U36" s="555">
        <f>SUMIF($C$4:$C$23,"GSR",U$4:U$23)</f>
        <v>0</v>
      </c>
      <c r="V36" s="555">
        <f>SUMIF($C$4:$C$23,"GSR",V$4:V$23)</f>
        <v>0</v>
      </c>
      <c r="W36" s="562">
        <f>SUMIF($C$4:$C$23,"GSR",W$4:W$23)</f>
        <v>0</v>
      </c>
      <c r="X36" s="563"/>
      <c r="Y36" s="567">
        <f>SUMIF($C$4:$C$23,"GSR",Y$4:Y$23)</f>
        <v>0</v>
      </c>
      <c r="Z36" s="568">
        <f>SUMIF($C$4:$C$23,"GSR",Z$4:Z$23)</f>
        <v>0</v>
      </c>
      <c r="AA36" s="568">
        <f>SUMIF($C$4:$C$23,"GSR",AA$4:AA$23)</f>
        <v>0</v>
      </c>
      <c r="AB36" s="579">
        <f>SUMIF($C$4:$C$23,"GSR",AB$4:AB$23)</f>
        <v>0</v>
      </c>
      <c r="AC36" s="580"/>
      <c r="AD36" s="592">
        <f t="shared" si="2"/>
        <v>0</v>
      </c>
      <c r="AE36" s="593">
        <f t="shared" si="3"/>
        <v>0</v>
      </c>
      <c r="AF36" s="593">
        <f t="shared" si="4"/>
        <v>0</v>
      </c>
      <c r="AG36" s="594">
        <f t="shared" si="5"/>
        <v>0</v>
      </c>
    </row>
    <row r="37" spans="1:33" ht="15" customHeight="1" x14ac:dyDescent="0.2">
      <c r="A37" s="803" t="s">
        <v>318</v>
      </c>
      <c r="B37" s="804"/>
      <c r="C37" s="805"/>
      <c r="D37" s="563"/>
      <c r="E37" s="567">
        <f>SUMIF($C$4:$C$23,"Undergrad",E$4:E$23)</f>
        <v>0</v>
      </c>
      <c r="F37" s="568">
        <f>SUMIF($C$4:$C$23,"Undergrad",F$4:F$23)</f>
        <v>0</v>
      </c>
      <c r="G37" s="568">
        <f>SUMIF($C$4:$C$23,"Undergrad",G$4:G$23)</f>
        <v>0</v>
      </c>
      <c r="H37" s="569">
        <f>SUMIF($C$4:$C$23,"Undergrad",H$4:H$23)</f>
        <v>0</v>
      </c>
      <c r="I37" s="60"/>
      <c r="J37" s="137">
        <f>SUMIF($C$4:$C$23,"Undergrad",J$4:J$23)</f>
        <v>0</v>
      </c>
      <c r="K37" s="555">
        <f>SUMIF($C$4:$C$23,"Undergrad",K$4:K$23)</f>
        <v>0</v>
      </c>
      <c r="L37" s="555">
        <f>SUMIF($C$4:$C$23,"Undergrad",L$4:L$23)</f>
        <v>0</v>
      </c>
      <c r="M37" s="562">
        <f>SUMIF($C$4:$C$23,"Undergrad",M$4:M$23)</f>
        <v>0</v>
      </c>
      <c r="N37" s="563"/>
      <c r="O37" s="567">
        <f>SUMIF($C$4:$C$23,"Undergrad",O$4:O$23)</f>
        <v>0</v>
      </c>
      <c r="P37" s="568">
        <f>SUMIF($C$4:$C$23,"Undergrad",P$4:P$23)</f>
        <v>0</v>
      </c>
      <c r="Q37" s="568">
        <f>SUMIF($C$4:$C$23,"Undergrad",Q$4:Q$23)</f>
        <v>0</v>
      </c>
      <c r="R37" s="569">
        <f>SUMIF($C$4:$C$23,"Undergrad",R$4:R$23)</f>
        <v>0</v>
      </c>
      <c r="S37" s="60"/>
      <c r="T37" s="137">
        <f>SUMIF($C$4:$C$23,"Undergrad",T$4:T$23)</f>
        <v>0</v>
      </c>
      <c r="U37" s="555">
        <f>SUMIF($C$4:$C$23,"Undergrad",U$4:U$23)</f>
        <v>0</v>
      </c>
      <c r="V37" s="555">
        <f>SUMIF($C$4:$C$23,"Undergrad",V$4:V$23)</f>
        <v>0</v>
      </c>
      <c r="W37" s="562">
        <f>SUMIF($C$4:$C$23,"Undergrad",W$4:W$23)</f>
        <v>0</v>
      </c>
      <c r="X37" s="563"/>
      <c r="Y37" s="567">
        <f>SUMIF($C$4:$C$23,"Undergrad",Y$4:Y$23)</f>
        <v>0</v>
      </c>
      <c r="Z37" s="568">
        <f>SUMIF($C$4:$C$23,"Undergrad",Z$4:Z$23)</f>
        <v>0</v>
      </c>
      <c r="AA37" s="568">
        <f>SUMIF($C$4:$C$23,"Undergrad",AA$4:AA$23)</f>
        <v>0</v>
      </c>
      <c r="AB37" s="579">
        <f>SUMIF($C$4:$C$23,"Undergrad",AB$4:AB$23)</f>
        <v>0</v>
      </c>
      <c r="AC37" s="580"/>
      <c r="AD37" s="592">
        <f t="shared" si="2"/>
        <v>0</v>
      </c>
      <c r="AE37" s="593">
        <f t="shared" si="3"/>
        <v>0</v>
      </c>
      <c r="AF37" s="593">
        <f t="shared" si="4"/>
        <v>0</v>
      </c>
      <c r="AG37" s="594">
        <f t="shared" si="5"/>
        <v>0</v>
      </c>
    </row>
    <row r="38" spans="1:33" ht="15" customHeight="1" thickBot="1" x14ac:dyDescent="0.25">
      <c r="A38" s="791" t="s">
        <v>319</v>
      </c>
      <c r="B38" s="792"/>
      <c r="C38" s="793"/>
      <c r="D38" s="597"/>
      <c r="E38" s="598">
        <f>SUMIF($C$4:$C$23,"Clerical",E$4:E$23)</f>
        <v>0</v>
      </c>
      <c r="F38" s="599">
        <f>SUMIF($C$4:$C$23,"Clerical",F$4:F$23)</f>
        <v>0</v>
      </c>
      <c r="G38" s="599">
        <f>SUMIF($C$4:$C$23,"Clerical",G$4:G$23)</f>
        <v>0</v>
      </c>
      <c r="H38" s="600">
        <f>SUMIF($C$4:$C$23,"Clerical",H$4:H$23)</f>
        <v>0</v>
      </c>
      <c r="I38" s="601"/>
      <c r="J38" s="602">
        <f>SUMIF($C$4:$C$23,"Clerical",J$4:J$23)</f>
        <v>0</v>
      </c>
      <c r="K38" s="603">
        <f>SUMIF($C$4:$C$23,"Clerical",K$4:K$23)</f>
        <v>0</v>
      </c>
      <c r="L38" s="603">
        <f>SUMIF($C$4:$C$23,"Clerical",L$4:L$23)</f>
        <v>0</v>
      </c>
      <c r="M38" s="604">
        <f>SUMIF($C$4:$C$23,"Clerical",M$4:M$23)</f>
        <v>0</v>
      </c>
      <c r="N38" s="597"/>
      <c r="O38" s="598">
        <f>SUMIF($C$4:$C$23,"Clerical",O$4:O$23)</f>
        <v>0</v>
      </c>
      <c r="P38" s="599">
        <f>SUMIF($C$4:$C$23,"Clerical",P$4:P$23)</f>
        <v>0</v>
      </c>
      <c r="Q38" s="599">
        <f>SUMIF($C$4:$C$23,"Clerical",Q$4:Q$23)</f>
        <v>0</v>
      </c>
      <c r="R38" s="600">
        <f>SUMIF($C$4:$C$23,"Clerical",R$4:R$23)</f>
        <v>0</v>
      </c>
      <c r="S38" s="601"/>
      <c r="T38" s="602">
        <f>SUMIF($C$4:$C$23,"Clerical",T$4:T$23)</f>
        <v>0</v>
      </c>
      <c r="U38" s="603">
        <f>SUMIF($C$4:$C$23,"Clerical",U$4:U$23)</f>
        <v>0</v>
      </c>
      <c r="V38" s="603">
        <f>SUMIF($C$4:$C$23,"Clerical",V$4:V$23)</f>
        <v>0</v>
      </c>
      <c r="W38" s="604">
        <f>SUMIF($C$4:$C$23,"Clerical",W$4:W$23)</f>
        <v>0</v>
      </c>
      <c r="X38" s="597"/>
      <c r="Y38" s="598">
        <f>SUMIF($C$4:$C$23,"Clerical",Y$4:Y$23)</f>
        <v>0</v>
      </c>
      <c r="Z38" s="599">
        <f>SUMIF($C$4:$C$23,"Clerical",Z$4:Z$23)</f>
        <v>0</v>
      </c>
      <c r="AA38" s="599">
        <f>SUMIF($C$4:$C$23,"Clerical",AA$4:AA$23)</f>
        <v>0</v>
      </c>
      <c r="AB38" s="605">
        <f>SUMIF($C$4:$C$23,"Clerical",AB$4:AB$23)</f>
        <v>0</v>
      </c>
      <c r="AC38" s="606"/>
      <c r="AD38" s="607">
        <f t="shared" si="2"/>
        <v>0</v>
      </c>
      <c r="AE38" s="608">
        <f t="shared" si="3"/>
        <v>0</v>
      </c>
      <c r="AF38" s="608">
        <f t="shared" si="4"/>
        <v>0</v>
      </c>
      <c r="AG38" s="609">
        <f t="shared" si="5"/>
        <v>0</v>
      </c>
    </row>
    <row r="39" spans="1:33" x14ac:dyDescent="0.2">
      <c r="D39" s="610"/>
      <c r="E39" s="611" t="s">
        <v>339</v>
      </c>
      <c r="F39" s="612">
        <f>SUM(F31:F38)</f>
        <v>0</v>
      </c>
      <c r="G39" s="612">
        <f>SUM(G31:G38)</f>
        <v>0</v>
      </c>
      <c r="H39" s="613">
        <f>SUM(H31:H38)</f>
        <v>0</v>
      </c>
      <c r="I39" s="616"/>
      <c r="J39" s="617" t="s">
        <v>339</v>
      </c>
      <c r="K39" s="618">
        <f>SUM(K31:K38)</f>
        <v>0</v>
      </c>
      <c r="L39" s="618">
        <f>SUM(L31:L38)</f>
        <v>0</v>
      </c>
      <c r="M39" s="619">
        <f>SUM(M31:M38)</f>
        <v>0</v>
      </c>
      <c r="N39" s="610"/>
      <c r="O39" s="611" t="s">
        <v>339</v>
      </c>
      <c r="P39" s="612">
        <f>SUM(P31:P38)</f>
        <v>0</v>
      </c>
      <c r="Q39" s="612">
        <f>SUM(Q31:Q38)</f>
        <v>0</v>
      </c>
      <c r="R39" s="613">
        <f>SUM(R31:R38)</f>
        <v>0</v>
      </c>
      <c r="S39" s="616"/>
      <c r="T39" s="617" t="s">
        <v>339</v>
      </c>
      <c r="U39" s="618">
        <f>SUM(U31:U38)</f>
        <v>0</v>
      </c>
      <c r="V39" s="618">
        <f>SUM(V31:V38)</f>
        <v>0</v>
      </c>
      <c r="W39" s="619">
        <f>SUM(W31:W38)</f>
        <v>0</v>
      </c>
      <c r="X39" s="610"/>
      <c r="Y39" s="611" t="s">
        <v>339</v>
      </c>
      <c r="Z39" s="612">
        <f>SUM(Z31:Z38)</f>
        <v>0</v>
      </c>
      <c r="AA39" s="612">
        <f>SUM(AA31:AA38)</f>
        <v>0</v>
      </c>
      <c r="AB39" s="613">
        <f>SUM(AB31:AB38)</f>
        <v>0</v>
      </c>
      <c r="AC39" s="588"/>
      <c r="AD39" s="622" t="s">
        <v>339</v>
      </c>
      <c r="AE39" s="623">
        <f>SUM(AE31:AE38)</f>
        <v>0</v>
      </c>
      <c r="AF39" s="623">
        <f>SUM(AF31:AF38)</f>
        <v>0</v>
      </c>
      <c r="AG39" s="624">
        <f>SUM(AG31:AG38)</f>
        <v>0</v>
      </c>
    </row>
    <row r="40" spans="1:33" s="596" customFormat="1" ht="25.5" customHeight="1" thickBot="1" x14ac:dyDescent="0.25">
      <c r="D40" s="808" t="s">
        <v>340</v>
      </c>
      <c r="E40" s="809"/>
      <c r="F40" s="614">
        <f t="shared" ref="F40:G40" si="6">SUM(F31:F38)+F27</f>
        <v>0</v>
      </c>
      <c r="G40" s="614">
        <f t="shared" si="6"/>
        <v>0</v>
      </c>
      <c r="H40" s="615">
        <f>SUM(H31:H38)+H27</f>
        <v>0</v>
      </c>
      <c r="I40" s="810" t="s">
        <v>340</v>
      </c>
      <c r="J40" s="811"/>
      <c r="K40" s="620">
        <f t="shared" ref="K40:L40" si="7">SUM(K31:K38)+K27</f>
        <v>0</v>
      </c>
      <c r="L40" s="620">
        <f t="shared" si="7"/>
        <v>0</v>
      </c>
      <c r="M40" s="621">
        <f>SUM(M31:M38)+M27</f>
        <v>0</v>
      </c>
      <c r="N40" s="808" t="s">
        <v>340</v>
      </c>
      <c r="O40" s="809"/>
      <c r="P40" s="614">
        <f t="shared" ref="P40:Q40" si="8">SUM(P31:P38)+P27</f>
        <v>0</v>
      </c>
      <c r="Q40" s="614">
        <f t="shared" si="8"/>
        <v>0</v>
      </c>
      <c r="R40" s="615">
        <f>SUM(R31:R38)+R27</f>
        <v>0</v>
      </c>
      <c r="S40" s="810" t="s">
        <v>340</v>
      </c>
      <c r="T40" s="811"/>
      <c r="U40" s="620">
        <f t="shared" ref="U40:V40" si="9">SUM(U31:U38)+U27</f>
        <v>0</v>
      </c>
      <c r="V40" s="620">
        <f t="shared" si="9"/>
        <v>0</v>
      </c>
      <c r="W40" s="621">
        <f>SUM(W31:W38)+W27</f>
        <v>0</v>
      </c>
      <c r="X40" s="808" t="s">
        <v>340</v>
      </c>
      <c r="Y40" s="809"/>
      <c r="Z40" s="614">
        <f t="shared" ref="Z40:AA40" si="10">SUM(Z31:Z38)+Z27</f>
        <v>0</v>
      </c>
      <c r="AA40" s="614">
        <f t="shared" si="10"/>
        <v>0</v>
      </c>
      <c r="AB40" s="615">
        <f>SUM(AB31:AB38)+AB27</f>
        <v>0</v>
      </c>
      <c r="AC40" s="806" t="s">
        <v>340</v>
      </c>
      <c r="AD40" s="807"/>
      <c r="AE40" s="625">
        <f>SUM(AE31:AE38)+AE27</f>
        <v>0</v>
      </c>
      <c r="AF40" s="625">
        <f>SUM(AF31:AF38)+AF27</f>
        <v>0</v>
      </c>
      <c r="AG40" s="626">
        <f>SUM(AG31:AG38)+AG27</f>
        <v>0</v>
      </c>
    </row>
  </sheetData>
  <mergeCells count="34">
    <mergeCell ref="AC40:AD40"/>
    <mergeCell ref="X40:Y40"/>
    <mergeCell ref="D40:E40"/>
    <mergeCell ref="I40:J40"/>
    <mergeCell ref="N40:O40"/>
    <mergeCell ref="S40:T40"/>
    <mergeCell ref="AC25:AG25"/>
    <mergeCell ref="AC29:AG29"/>
    <mergeCell ref="A38:C38"/>
    <mergeCell ref="A29:C30"/>
    <mergeCell ref="D29:H29"/>
    <mergeCell ref="I29:M29"/>
    <mergeCell ref="N29:R29"/>
    <mergeCell ref="A33:C33"/>
    <mergeCell ref="A34:C34"/>
    <mergeCell ref="A35:C35"/>
    <mergeCell ref="A36:C36"/>
    <mergeCell ref="A37:C37"/>
    <mergeCell ref="S25:W25"/>
    <mergeCell ref="X25:AB25"/>
    <mergeCell ref="A31:C31"/>
    <mergeCell ref="A32:C32"/>
    <mergeCell ref="S29:W29"/>
    <mergeCell ref="X29:AB29"/>
    <mergeCell ref="A27:C27"/>
    <mergeCell ref="A25:C26"/>
    <mergeCell ref="D25:H25"/>
    <mergeCell ref="I25:M25"/>
    <mergeCell ref="N25:R25"/>
    <mergeCell ref="D2:H2"/>
    <mergeCell ref="I2:M2"/>
    <mergeCell ref="N2:R2"/>
    <mergeCell ref="S2:W2"/>
    <mergeCell ref="X2:AB2"/>
  </mergeCells>
  <pageMargins left="0.7" right="0.7" top="0.75" bottom="0.75" header="0.3" footer="0.3"/>
  <pageSetup orientation="portrait"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F6C76B11-D261-4EA5-AA80-B344A9183AB9}">
          <x14:formula1>
            <xm:f>Worksheet!$A$178:$A$187</xm:f>
          </x14:formula1>
          <xm:sqref>C4:C23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pageSetUpPr fitToPage="1"/>
  </sheetPr>
  <dimension ref="A1:W158"/>
  <sheetViews>
    <sheetView workbookViewId="0">
      <pane ySplit="4" topLeftCell="A83" activePane="bottomLeft" state="frozen"/>
      <selection pane="bottomLeft" activeCell="C34" sqref="C34"/>
    </sheetView>
  </sheetViews>
  <sheetFormatPr defaultColWidth="9.140625" defaultRowHeight="15" x14ac:dyDescent="0.25"/>
  <cols>
    <col min="1" max="1" width="2.85546875" style="279" customWidth="1"/>
    <col min="2" max="2" width="24.85546875" style="279" customWidth="1"/>
    <col min="3" max="3" width="12" style="279" bestFit="1" customWidth="1"/>
    <col min="4" max="4" width="6.85546875" style="279" customWidth="1"/>
    <col min="5" max="6" width="6.42578125" style="279" customWidth="1"/>
    <col min="7" max="7" width="6.5703125" style="279" customWidth="1"/>
    <col min="8" max="8" width="6.42578125" style="279" customWidth="1"/>
    <col min="9" max="10" width="9.140625" style="279"/>
    <col min="11" max="15" width="11" style="279" bestFit="1" customWidth="1"/>
    <col min="16" max="16" width="11.42578125" style="279" customWidth="1"/>
    <col min="17" max="17" width="3.5703125" style="279" customWidth="1"/>
    <col min="18" max="23" width="15.140625" style="279" customWidth="1"/>
    <col min="24" max="16384" width="9.140625" style="279"/>
  </cols>
  <sheetData>
    <row r="1" spans="1:23" x14ac:dyDescent="0.25">
      <c r="A1" s="216"/>
      <c r="B1" s="97" t="s">
        <v>2</v>
      </c>
      <c r="C1" s="830" t="str">
        <f>IF(Budget!C4="","",Budget!C4)</f>
        <v/>
      </c>
      <c r="D1" s="830"/>
      <c r="E1" s="830"/>
      <c r="F1" s="830"/>
      <c r="G1" s="830"/>
      <c r="H1" s="830"/>
      <c r="I1" s="207"/>
      <c r="J1" s="208"/>
      <c r="K1" s="1" t="s">
        <v>3</v>
      </c>
      <c r="L1" s="1" t="s">
        <v>4</v>
      </c>
      <c r="M1" s="1" t="s">
        <v>5</v>
      </c>
      <c r="N1" s="1" t="s">
        <v>6</v>
      </c>
      <c r="O1" s="1" t="s">
        <v>7</v>
      </c>
      <c r="P1" s="217" t="s">
        <v>8</v>
      </c>
    </row>
    <row r="2" spans="1:23" x14ac:dyDescent="0.25">
      <c r="A2" s="216"/>
      <c r="B2" s="97" t="s">
        <v>9</v>
      </c>
      <c r="C2" s="830" t="str">
        <f>IF(Budget!C5="","",Budget!C5)</f>
        <v/>
      </c>
      <c r="D2" s="830"/>
      <c r="E2" s="830"/>
      <c r="F2" s="830"/>
      <c r="G2" s="830"/>
      <c r="H2" s="830"/>
      <c r="I2" s="207"/>
      <c r="J2" s="208"/>
      <c r="K2" s="489">
        <f>Budget!K5</f>
        <v>46204</v>
      </c>
      <c r="L2" s="489">
        <f>Budget!L5</f>
        <v>46569</v>
      </c>
      <c r="M2" s="489">
        <f>Budget!M5</f>
        <v>46935</v>
      </c>
      <c r="N2" s="489">
        <f>Budget!N5</f>
        <v>47300</v>
      </c>
      <c r="O2" s="489">
        <f>Budget!O5</f>
        <v>47665</v>
      </c>
      <c r="P2" s="219"/>
    </row>
    <row r="3" spans="1:23" x14ac:dyDescent="0.25">
      <c r="A3" s="216"/>
      <c r="B3" s="97" t="s">
        <v>10</v>
      </c>
      <c r="C3" s="499">
        <f>Budget!C6</f>
        <v>46204</v>
      </c>
      <c r="D3" s="207"/>
      <c r="E3" s="779" t="s">
        <v>11</v>
      </c>
      <c r="F3" s="779"/>
      <c r="G3" s="779"/>
      <c r="H3" s="779"/>
      <c r="I3" s="779"/>
      <c r="J3" s="780"/>
      <c r="K3" s="498">
        <f>Budget!K6</f>
        <v>12</v>
      </c>
      <c r="L3" s="498">
        <f>Budget!L6</f>
        <v>12</v>
      </c>
      <c r="M3" s="498">
        <f>Budget!M6</f>
        <v>12</v>
      </c>
      <c r="N3" s="498">
        <f>Budget!N6</f>
        <v>12</v>
      </c>
      <c r="O3" s="498">
        <f>Budget!O6</f>
        <v>12</v>
      </c>
      <c r="P3" s="219"/>
    </row>
    <row r="4" spans="1:23" ht="15.75" thickBot="1" x14ac:dyDescent="0.3">
      <c r="A4" s="216"/>
      <c r="B4" s="97" t="str">
        <f>Budget!B7</f>
        <v>Federal / Federal Flow-Thru?</v>
      </c>
      <c r="C4" s="507" t="str">
        <f>Budget!C7</f>
        <v>Yes</v>
      </c>
      <c r="D4" s="216"/>
      <c r="E4" s="207"/>
      <c r="F4" s="207"/>
      <c r="G4" s="207"/>
      <c r="H4" s="207"/>
      <c r="I4" s="779"/>
      <c r="J4" s="780"/>
      <c r="K4" s="489">
        <f>Budget!K7</f>
        <v>46568</v>
      </c>
      <c r="L4" s="489">
        <f>Budget!L7</f>
        <v>46934</v>
      </c>
      <c r="M4" s="489">
        <f>Budget!M7</f>
        <v>47299</v>
      </c>
      <c r="N4" s="489">
        <f>Budget!N7</f>
        <v>47664</v>
      </c>
      <c r="O4" s="489">
        <f>Budget!O7</f>
        <v>48029</v>
      </c>
      <c r="P4" s="219"/>
      <c r="R4" s="462" t="s">
        <v>287</v>
      </c>
    </row>
    <row r="5" spans="1:23" s="216" customFormat="1" ht="15.75" customHeight="1" thickBot="1" x14ac:dyDescent="0.3">
      <c r="A5" s="832" t="s">
        <v>220</v>
      </c>
      <c r="B5" s="832"/>
      <c r="C5" s="832"/>
      <c r="D5" s="832"/>
      <c r="E5" s="832"/>
      <c r="F5" s="832"/>
      <c r="G5" s="832"/>
      <c r="H5" s="832"/>
      <c r="I5" s="832"/>
      <c r="J5" s="832"/>
      <c r="K5" s="187" t="s">
        <v>3</v>
      </c>
      <c r="L5" s="187" t="s">
        <v>4</v>
      </c>
      <c r="M5" s="187" t="s">
        <v>5</v>
      </c>
      <c r="N5" s="187" t="s">
        <v>6</v>
      </c>
      <c r="O5" s="187" t="s">
        <v>7</v>
      </c>
      <c r="P5" s="298" t="s">
        <v>8</v>
      </c>
      <c r="Q5" s="218"/>
    </row>
    <row r="6" spans="1:23" s="216" customFormat="1" ht="12.75" customHeight="1" x14ac:dyDescent="0.25">
      <c r="A6" s="211" t="s">
        <v>12</v>
      </c>
      <c r="B6" s="299"/>
      <c r="C6" s="161"/>
      <c r="D6" s="161"/>
      <c r="E6" s="161"/>
      <c r="F6" s="161"/>
      <c r="G6" s="161"/>
      <c r="H6" s="161"/>
      <c r="I6" s="161"/>
      <c r="J6" s="161"/>
      <c r="K6" s="300"/>
      <c r="L6" s="300"/>
      <c r="M6" s="300"/>
      <c r="N6" s="300"/>
      <c r="O6" s="300"/>
      <c r="P6" s="301"/>
      <c r="Q6" s="218"/>
    </row>
    <row r="7" spans="1:23" s="216" customFormat="1" ht="12.75" customHeight="1" x14ac:dyDescent="0.2">
      <c r="A7" s="302"/>
      <c r="B7" s="725" t="s">
        <v>14</v>
      </c>
      <c r="C7" s="725" t="s">
        <v>15</v>
      </c>
      <c r="D7" s="738" t="s">
        <v>16</v>
      </c>
      <c r="E7" s="738"/>
      <c r="F7" s="738"/>
      <c r="G7" s="738"/>
      <c r="H7" s="738"/>
      <c r="I7" s="734" t="s">
        <v>17</v>
      </c>
      <c r="J7" s="735"/>
      <c r="K7" s="741"/>
      <c r="L7" s="743"/>
      <c r="M7" s="743"/>
      <c r="N7" s="743"/>
      <c r="O7" s="739"/>
      <c r="P7" s="825"/>
      <c r="Q7" s="218"/>
    </row>
    <row r="8" spans="1:23" s="216" customFormat="1" ht="12.75" customHeight="1" x14ac:dyDescent="0.2">
      <c r="A8" s="302"/>
      <c r="B8" s="726"/>
      <c r="C8" s="726"/>
      <c r="D8" s="224" t="s">
        <v>21</v>
      </c>
      <c r="E8" s="224" t="s">
        <v>22</v>
      </c>
      <c r="F8" s="224" t="s">
        <v>23</v>
      </c>
      <c r="G8" s="224" t="s">
        <v>24</v>
      </c>
      <c r="H8" s="224" t="s">
        <v>25</v>
      </c>
      <c r="I8" s="736"/>
      <c r="J8" s="737"/>
      <c r="K8" s="742"/>
      <c r="L8" s="744"/>
      <c r="M8" s="744"/>
      <c r="N8" s="744"/>
      <c r="O8" s="740"/>
      <c r="P8" s="825"/>
      <c r="Q8" s="218"/>
    </row>
    <row r="9" spans="1:23" s="216" customFormat="1" ht="12.75" customHeight="1" x14ac:dyDescent="0.2">
      <c r="A9" s="302">
        <v>1</v>
      </c>
      <c r="B9" s="245" t="s">
        <v>30</v>
      </c>
      <c r="C9" s="509"/>
      <c r="D9" s="442"/>
      <c r="E9" s="442"/>
      <c r="F9" s="442"/>
      <c r="G9" s="442"/>
      <c r="H9" s="442"/>
      <c r="I9" s="441" t="s">
        <v>29</v>
      </c>
      <c r="J9" s="442">
        <v>0</v>
      </c>
      <c r="K9" s="464">
        <f>IF(I9="Budget Year",ROUND(C9*D9/12*Budget!$K$6,0),IF(Budget!$K$6=0,,ROUND(Worksheet!I140,0)))</f>
        <v>0</v>
      </c>
      <c r="L9" s="464">
        <f>IF(I9="Budget Year",ROUND(C9*E9/12*(1+J9)*Budget!$L$6,0),IF(Budget!$L$6=0,,ROUND(Worksheet!J140,0)))</f>
        <v>0</v>
      </c>
      <c r="M9" s="465">
        <f>IF(I9="Budget Year",ROUND(C9*F9/12*(1+J9)*(1+J9)*Budget!$M$6,0),IF(Budget!$M$6=0,,ROUND(Worksheet!K140,0)))</f>
        <v>0</v>
      </c>
      <c r="N9" s="465">
        <f>IF(I9="Budget Year",ROUND(C9*G9/12*(1+J9)*(1+J9)*(1+J9)*Budget!$N$6,0),IF(Budget!$N$6=0,,ROUND(Worksheet!L140,0)))</f>
        <v>0</v>
      </c>
      <c r="O9" s="465">
        <f>IF(I9="Budget Year",ROUND(C9*H9/12*(1+J9)*(1+J9)*(1+J9)*(1+J9)*Budget!$O$6,0),IF(Budget!$O$6=0,,ROUND(Worksheet!M140,0)))</f>
        <v>0</v>
      </c>
      <c r="P9" s="475">
        <f t="shared" ref="P9:P29" si="0">SUM(K9:O9)</f>
        <v>0</v>
      </c>
      <c r="Q9" s="218"/>
      <c r="R9" s="641" t="s">
        <v>108</v>
      </c>
      <c r="S9" s="642"/>
      <c r="T9" s="642"/>
      <c r="U9" s="642"/>
      <c r="V9" s="642"/>
      <c r="W9" s="643"/>
    </row>
    <row r="10" spans="1:23" s="216" customFormat="1" ht="12.75" customHeight="1" x14ac:dyDescent="0.2">
      <c r="A10" s="302">
        <v>2</v>
      </c>
      <c r="B10" s="245" t="s">
        <v>30</v>
      </c>
      <c r="C10" s="509"/>
      <c r="D10" s="442"/>
      <c r="E10" s="442"/>
      <c r="F10" s="442"/>
      <c r="G10" s="442"/>
      <c r="H10" s="442"/>
      <c r="I10" s="441" t="s">
        <v>29</v>
      </c>
      <c r="J10" s="442">
        <v>0</v>
      </c>
      <c r="K10" s="464">
        <f>IF(I10="Budget Year",ROUND(C10*D10/12*Budget!$K$6,0),IF(Budget!$K$6=0,,ROUND(Worksheet!I141,0)))</f>
        <v>0</v>
      </c>
      <c r="L10" s="464">
        <f>IF(I10="Budget Year",ROUND(C10*E10/12*(1+J10)*Budget!$L$6,0),IF(Budget!$L$6=0,,ROUND(Worksheet!J141,0)))</f>
        <v>0</v>
      </c>
      <c r="M10" s="465">
        <f>IF(I10="Budget Year",ROUND(C10*F10/12*(1+J10)*(1+J10)*Budget!$M$6,0),IF(Budget!$M$6=0,,ROUND(Worksheet!K141,0)))</f>
        <v>0</v>
      </c>
      <c r="N10" s="465">
        <f>IF(I10="Budget Year",ROUND(C10*G10/12*(1+J10)*(1+J10)*(1+J10)*Budget!$N$6,0),IF(Budget!$N$6=0,,ROUND(Worksheet!L141,0)))</f>
        <v>0</v>
      </c>
      <c r="O10" s="465">
        <f>IF(I10="Budget Year",ROUND(C10*H10/12*(1+J10)*(1+J10)*(1+J10)*(1+J10)*Budget!$O$6,0),IF(Budget!$O$6=0,,ROUND(Worksheet!M141,0)))</f>
        <v>0</v>
      </c>
      <c r="P10" s="475">
        <f t="shared" si="0"/>
        <v>0</v>
      </c>
      <c r="Q10" s="218"/>
    </row>
    <row r="11" spans="1:23" s="216" customFormat="1" ht="12.75" customHeight="1" x14ac:dyDescent="0.2">
      <c r="A11" s="302">
        <v>3</v>
      </c>
      <c r="B11" s="245" t="s">
        <v>30</v>
      </c>
      <c r="C11" s="509"/>
      <c r="D11" s="442"/>
      <c r="E11" s="442"/>
      <c r="F11" s="442"/>
      <c r="G11" s="442"/>
      <c r="H11" s="442"/>
      <c r="I11" s="441" t="s">
        <v>29</v>
      </c>
      <c r="J11" s="442">
        <v>0</v>
      </c>
      <c r="K11" s="464">
        <f>IF(I11="Budget Year",ROUND(C11*D11/12*Budget!$K$6,0),IF(Budget!$K$6=0,,ROUND(Worksheet!I142,0)))</f>
        <v>0</v>
      </c>
      <c r="L11" s="464">
        <f>IF(I11="Budget Year",ROUND(C11*E11/12*(1+J11)*Budget!$L$6,0),IF(Budget!$L$6=0,,ROUND(Worksheet!J142,0)))</f>
        <v>0</v>
      </c>
      <c r="M11" s="465">
        <f>IF(I11="Budget Year",ROUND(C11*F11/12*(1+J11)*(1+J11)*Budget!$M$6,0),IF(Budget!$M$6=0,,ROUND(Worksheet!K142,0)))</f>
        <v>0</v>
      </c>
      <c r="N11" s="465">
        <f>IF(I11="Budget Year",ROUND(C11*G11/12*(1+J11)*(1+J11)*(1+J11)*Budget!$N$6,0),IF(Budget!$N$6=0,,ROUND(Worksheet!L142,0)))</f>
        <v>0</v>
      </c>
      <c r="O11" s="465">
        <f>IF(I11="Budget Year",ROUND(C11*H11/12*(1+J11)*(1+J11)*(1+J11)*(1+J11)*Budget!$O$6,0),IF(Budget!$O$6=0,,ROUND(Worksheet!M142,0)))</f>
        <v>0</v>
      </c>
      <c r="P11" s="475">
        <f t="shared" si="0"/>
        <v>0</v>
      </c>
      <c r="Q11" s="218"/>
    </row>
    <row r="12" spans="1:23" s="216" customFormat="1" ht="12.75" customHeight="1" x14ac:dyDescent="0.2">
      <c r="A12" s="302">
        <v>4</v>
      </c>
      <c r="B12" s="245" t="s">
        <v>30</v>
      </c>
      <c r="C12" s="509"/>
      <c r="D12" s="442"/>
      <c r="E12" s="442"/>
      <c r="F12" s="442"/>
      <c r="G12" s="442"/>
      <c r="H12" s="442"/>
      <c r="I12" s="441" t="s">
        <v>29</v>
      </c>
      <c r="J12" s="442">
        <v>0</v>
      </c>
      <c r="K12" s="464">
        <f>IF(I12="Budget Year",ROUND(C12*D12/12*Budget!$K$6,0),IF(Budget!$K$6=0,,ROUND(Worksheet!I143,0)))</f>
        <v>0</v>
      </c>
      <c r="L12" s="464">
        <f>IF(I12="Budget Year",ROUND(C12*E12/12*(1+J12)*Budget!$L$6,0),IF(Budget!$L$6=0,,ROUND(Worksheet!J143,0)))</f>
        <v>0</v>
      </c>
      <c r="M12" s="465">
        <f>IF(I12="Budget Year",ROUND(C12*F12/12*(1+J12)*(1+J12)*Budget!$M$6,0),IF(Budget!$M$6=0,,ROUND(Worksheet!K143,0)))</f>
        <v>0</v>
      </c>
      <c r="N12" s="465">
        <f>IF(I12="Budget Year",ROUND(C12*G12/12*(1+J12)*(1+J12)*(1+J12)*Budget!$N$6,0),IF(Budget!$N$6=0,,ROUND(Worksheet!L143,0)))</f>
        <v>0</v>
      </c>
      <c r="O12" s="465">
        <f>IF(I12="Budget Year",ROUND(C12*H12/12*(1+J12)*(1+J12)*(1+J12)*(1+J12)*Budget!$O$6,0),IF(Budget!$O$6=0,,ROUND(Worksheet!M143,0)))</f>
        <v>0</v>
      </c>
      <c r="P12" s="475">
        <f t="shared" si="0"/>
        <v>0</v>
      </c>
      <c r="Q12" s="218"/>
    </row>
    <row r="13" spans="1:23" s="216" customFormat="1" ht="12.75" customHeight="1" x14ac:dyDescent="0.2">
      <c r="A13" s="302">
        <v>5</v>
      </c>
      <c r="B13" s="245" t="s">
        <v>30</v>
      </c>
      <c r="C13" s="509"/>
      <c r="D13" s="442"/>
      <c r="E13" s="442"/>
      <c r="F13" s="442"/>
      <c r="G13" s="442"/>
      <c r="H13" s="442"/>
      <c r="I13" s="441" t="s">
        <v>29</v>
      </c>
      <c r="J13" s="442">
        <v>0</v>
      </c>
      <c r="K13" s="464">
        <f>IF(I13="Budget Year",ROUND(C13*D13/12*Budget!$K$6,0),IF(Budget!$K$6=0,,ROUND(Worksheet!I144,0)))</f>
        <v>0</v>
      </c>
      <c r="L13" s="464">
        <f>IF(I13="Budget Year",ROUND(C13*E13/12*(1+J13)*Budget!$L$6,0),IF(Budget!$L$6=0,,ROUND(Worksheet!J144,0)))</f>
        <v>0</v>
      </c>
      <c r="M13" s="465">
        <f>IF(I13="Budget Year",ROUND(C13*F13/12*(1+J13)*(1+J13)*Budget!$M$6,0),IF(Budget!$M$6=0,,ROUND(Worksheet!K144,0)))</f>
        <v>0</v>
      </c>
      <c r="N13" s="465">
        <f>IF(I13="Budget Year",ROUND(C13*G13/12*(1+J13)*(1+J13)*(1+J13)*Budget!$N$6,0),IF(Budget!$N$6=0,,ROUND(Worksheet!L144,0)))</f>
        <v>0</v>
      </c>
      <c r="O13" s="465">
        <f>IF(I13="Budget Year",ROUND(C13*H13/12*(1+J13)*(1+J13)*(1+J13)*(1+J13)*Budget!$O$6,0),IF(Budget!$O$6=0,,ROUND(Worksheet!M144,0)))</f>
        <v>0</v>
      </c>
      <c r="P13" s="475">
        <f t="shared" si="0"/>
        <v>0</v>
      </c>
      <c r="Q13" s="218"/>
    </row>
    <row r="14" spans="1:23" s="216" customFormat="1" ht="12.75" customHeight="1" x14ac:dyDescent="0.2">
      <c r="A14" s="302">
        <v>6</v>
      </c>
      <c r="B14" s="245" t="s">
        <v>30</v>
      </c>
      <c r="C14" s="509"/>
      <c r="D14" s="442"/>
      <c r="E14" s="442"/>
      <c r="F14" s="442"/>
      <c r="G14" s="442"/>
      <c r="H14" s="442"/>
      <c r="I14" s="441" t="s">
        <v>29</v>
      </c>
      <c r="J14" s="442">
        <v>0</v>
      </c>
      <c r="K14" s="464">
        <f>IF(I14="Budget Year",ROUND(C14*D14/12*Budget!$K$6,0),IF(Budget!$K$6=0,,ROUND(Worksheet!I145,0)))</f>
        <v>0</v>
      </c>
      <c r="L14" s="464">
        <f>IF(I14="Budget Year",ROUND(C14*E14/12*(1+J14)*Budget!$L$6,0),IF(Budget!$L$6=0,,ROUND(Worksheet!J145,0)))</f>
        <v>0</v>
      </c>
      <c r="M14" s="465">
        <f>IF(I14="Budget Year",ROUND(C14*F14/12*(1+J14)*(1+J14)*Budget!$M$6,0),IF(Budget!$M$6=0,,ROUND(Worksheet!K145,0)))</f>
        <v>0</v>
      </c>
      <c r="N14" s="465">
        <f>IF(I14="Budget Year",ROUND(C14*G14/12*(1+J14)*(1+J14)*(1+J14)*Budget!$N$6,0),IF(Budget!$N$6=0,,ROUND(Worksheet!L145,0)))</f>
        <v>0</v>
      </c>
      <c r="O14" s="465">
        <f>IF(I14="Budget Year",ROUND(C14*H14/12*(1+J14)*(1+J14)*(1+J14)*(1+J14)*Budget!$O$6,0),IF(Budget!$O$6=0,,ROUND(Worksheet!M145,0)))</f>
        <v>0</v>
      </c>
      <c r="P14" s="475">
        <f t="shared" si="0"/>
        <v>0</v>
      </c>
      <c r="Q14" s="218"/>
    </row>
    <row r="15" spans="1:23" s="216" customFormat="1" ht="12.75" customHeight="1" x14ac:dyDescent="0.2">
      <c r="A15" s="302">
        <v>7</v>
      </c>
      <c r="B15" s="245" t="s">
        <v>30</v>
      </c>
      <c r="C15" s="509"/>
      <c r="D15" s="442"/>
      <c r="E15" s="442"/>
      <c r="F15" s="442"/>
      <c r="G15" s="442"/>
      <c r="H15" s="442"/>
      <c r="I15" s="441" t="s">
        <v>29</v>
      </c>
      <c r="J15" s="442">
        <v>0</v>
      </c>
      <c r="K15" s="464">
        <f>IF(I15="Budget Year",ROUND(C15*D15/12*Budget!$K$6,0),IF(Budget!$K$6=0,,ROUND(Worksheet!I146,0)))</f>
        <v>0</v>
      </c>
      <c r="L15" s="464">
        <f>IF(I15="Budget Year",ROUND(C15*E15/12*(1+J15)*Budget!$L$6,0),IF(Budget!$L$6=0,,ROUND(Worksheet!J146,0)))</f>
        <v>0</v>
      </c>
      <c r="M15" s="465">
        <f>IF(I15="Budget Year",ROUND(C15*F15/12*(1+J15)*(1+J15)*Budget!$M$6,0),IF(Budget!$M$6=0,,ROUND(Worksheet!K146,0)))</f>
        <v>0</v>
      </c>
      <c r="N15" s="465">
        <f>IF(I15="Budget Year",ROUND(C15*G15/12*(1+J15)*(1+J15)*(1+J15)*Budget!$N$6,0),IF(Budget!$N$6=0,,ROUND(Worksheet!L146,0)))</f>
        <v>0</v>
      </c>
      <c r="O15" s="465">
        <f>IF(I15="Budget Year",ROUND(C15*H15/12*(1+J15)*(1+J15)*(1+J15)*(1+J15)*Budget!$O$6,0),IF(Budget!$O$6=0,,ROUND(Worksheet!M146,0)))</f>
        <v>0</v>
      </c>
      <c r="P15" s="475">
        <f t="shared" si="0"/>
        <v>0</v>
      </c>
      <c r="Q15" s="218"/>
    </row>
    <row r="16" spans="1:23" s="216" customFormat="1" ht="12.75" customHeight="1" x14ac:dyDescent="0.2">
      <c r="A16" s="302">
        <v>8</v>
      </c>
      <c r="B16" s="245" t="s">
        <v>30</v>
      </c>
      <c r="C16" s="439"/>
      <c r="D16" s="440"/>
      <c r="E16" s="440"/>
      <c r="F16" s="440"/>
      <c r="G16" s="440"/>
      <c r="H16" s="440"/>
      <c r="I16" s="441" t="s">
        <v>29</v>
      </c>
      <c r="J16" s="442">
        <v>0</v>
      </c>
      <c r="K16" s="464">
        <f>IF(I16="Budget Year",ROUND(C16*D16/12*Budget!$K$6,0),IF(Budget!$K$6=0,,ROUND(Worksheet!I147,0)))</f>
        <v>0</v>
      </c>
      <c r="L16" s="464">
        <f>IF(I16="Budget Year",ROUND(C16*E16/12*(1+J16)*Budget!$L$6,0),IF(Budget!$L$6=0,,ROUND(Worksheet!J147,0)))</f>
        <v>0</v>
      </c>
      <c r="M16" s="465">
        <f>IF(I16="Budget Year",ROUND(C16*F16/12*(1+J16)*(1+J16)*Budget!$M$6,0),IF(Budget!$M$6=0,,ROUND(Worksheet!K147,0)))</f>
        <v>0</v>
      </c>
      <c r="N16" s="465">
        <f>IF(I16="Budget Year",ROUND(C16*G16/12*(1+J16)*(1+J16)*(1+J16)*Budget!$N$6,0),IF(Budget!$N$6=0,,ROUND(Worksheet!L147,0)))</f>
        <v>0</v>
      </c>
      <c r="O16" s="465">
        <f>IF(I16="Budget Year",ROUND(C16*H16/12*(1+J16)*(1+J16)*(1+J16)*(1+J16)*Budget!$O$6,0),IF(Budget!$O$6=0,,ROUND(Worksheet!M147,0)))</f>
        <v>0</v>
      </c>
      <c r="P16" s="475">
        <f t="shared" si="0"/>
        <v>0</v>
      </c>
      <c r="Q16" s="218"/>
    </row>
    <row r="17" spans="1:17" s="216" customFormat="1" ht="12.75" customHeight="1" x14ac:dyDescent="0.2">
      <c r="A17" s="302">
        <v>9</v>
      </c>
      <c r="B17" s="245" t="s">
        <v>30</v>
      </c>
      <c r="C17" s="439"/>
      <c r="D17" s="440"/>
      <c r="E17" s="440"/>
      <c r="F17" s="440"/>
      <c r="G17" s="440"/>
      <c r="H17" s="440"/>
      <c r="I17" s="441" t="s">
        <v>29</v>
      </c>
      <c r="J17" s="442">
        <v>0</v>
      </c>
      <c r="K17" s="464">
        <f>IF(I17="Budget Year",ROUND(C17*D17/12*Budget!$K$6,0),IF(Budget!$K$6=0,,ROUND(Worksheet!I148,0)))</f>
        <v>0</v>
      </c>
      <c r="L17" s="464">
        <f>IF(I17="Budget Year",ROUND(C17*E17/12*(1+J17)*Budget!$L$6,0),IF(Budget!$L$6=0,,ROUND(Worksheet!J148,0)))</f>
        <v>0</v>
      </c>
      <c r="M17" s="465">
        <f>IF(I17="Budget Year",ROUND(C17*F17/12*(1+J17)*(1+J17)*Budget!$M$6,0),IF(Budget!$M$6=0,,ROUND(Worksheet!K148,0)))</f>
        <v>0</v>
      </c>
      <c r="N17" s="465">
        <f>IF(I17="Budget Year",ROUND(C17*G17/12*(1+J17)*(1+J17)*(1+J17)*Budget!$N$6,0),IF(Budget!$N$6=0,,ROUND(Worksheet!L148,0)))</f>
        <v>0</v>
      </c>
      <c r="O17" s="465">
        <f>IF(I17="Budget Year",ROUND(C17*H17/12*(1+J17)*(1+J17)*(1+J17)*(1+J17)*Budget!$O$6,0),IF(Budget!$O$6=0,,ROUND(Worksheet!M148,0)))</f>
        <v>0</v>
      </c>
      <c r="P17" s="475">
        <f t="shared" si="0"/>
        <v>0</v>
      </c>
      <c r="Q17" s="218"/>
    </row>
    <row r="18" spans="1:17" s="216" customFormat="1" ht="12.75" customHeight="1" x14ac:dyDescent="0.2">
      <c r="A18" s="302">
        <v>10</v>
      </c>
      <c r="B18" s="245" t="s">
        <v>30</v>
      </c>
      <c r="C18" s="439"/>
      <c r="D18" s="440"/>
      <c r="E18" s="440"/>
      <c r="F18" s="440"/>
      <c r="G18" s="440"/>
      <c r="H18" s="440"/>
      <c r="I18" s="441" t="s">
        <v>29</v>
      </c>
      <c r="J18" s="442">
        <v>0</v>
      </c>
      <c r="K18" s="464">
        <f>IF(I18="Budget Year",ROUND(C18*D18/12*Budget!$K$6,0),IF(Budget!$K$6=0,,ROUND(Worksheet!I149,0)))</f>
        <v>0</v>
      </c>
      <c r="L18" s="464">
        <f>IF(I18="Budget Year",ROUND(C18*E18/12*(1+J18)*Budget!$L$6,0),IF(Budget!$L$6=0,,ROUND(Worksheet!J149,0)))</f>
        <v>0</v>
      </c>
      <c r="M18" s="465">
        <f>IF(I18="Budget Year",ROUND(C18*F18/12*(1+J18)*(1+J18)*Budget!$M$6,0),IF(Budget!$M$6=0,,ROUND(Worksheet!K149,0)))</f>
        <v>0</v>
      </c>
      <c r="N18" s="465">
        <f>IF(I18="Budget Year",ROUND(C18*G18/12*(1+J18)*(1+J18)*(1+J18)*Budget!$N$6,0),IF(Budget!$N$6=0,,ROUND(Worksheet!L149,0)))</f>
        <v>0</v>
      </c>
      <c r="O18" s="465">
        <f>IF(I18="Budget Year",ROUND(C18*H18/12*(1+J18)*(1+J18)*(1+J18)*(1+J18)*Budget!$O$6,0),IF(Budget!$O$6=0,,ROUND(Worksheet!M149,0)))</f>
        <v>0</v>
      </c>
      <c r="P18" s="475">
        <f t="shared" si="0"/>
        <v>0</v>
      </c>
      <c r="Q18" s="218"/>
    </row>
    <row r="19" spans="1:17" s="216" customFormat="1" ht="12.75" hidden="1" customHeight="1" x14ac:dyDescent="0.2">
      <c r="A19" s="302">
        <v>11</v>
      </c>
      <c r="B19" s="245" t="s">
        <v>30</v>
      </c>
      <c r="C19" s="439"/>
      <c r="D19" s="440"/>
      <c r="E19" s="440"/>
      <c r="F19" s="440"/>
      <c r="G19" s="440"/>
      <c r="H19" s="440"/>
      <c r="I19" s="441" t="s">
        <v>29</v>
      </c>
      <c r="J19" s="442">
        <v>0</v>
      </c>
      <c r="K19" s="464">
        <f>IF(I19="Budget Year",ROUND(C19*D19/12*Budget!$K$6,0),IF(Budget!$K$6=0,,ROUND(Worksheet!I150,0)))</f>
        <v>0</v>
      </c>
      <c r="L19" s="464">
        <f>IF(I19="Budget Year",ROUND(C19*E19/12*(1+J19)*Budget!$L$6,0),IF(Budget!$L$6=0,,ROUND(Worksheet!J150,0)))</f>
        <v>0</v>
      </c>
      <c r="M19" s="465">
        <f>IF(I19="Budget Year",ROUND(C19*F19/12*(1+J19)*(1+J19)*Budget!$M$6,0),IF(Budget!$M$6=0,,ROUND(Worksheet!K150,0)))</f>
        <v>0</v>
      </c>
      <c r="N19" s="465">
        <f>IF(I19="Budget Year",ROUND(C19*G19/12*(1+J19)*(1+J19)*(1+J19)*Budget!$N$6,0),IF(Budget!$N$6=0,,ROUND(Worksheet!L150,0)))</f>
        <v>0</v>
      </c>
      <c r="O19" s="465">
        <f>IF(I19="Budget Year",ROUND(C19*H19/12*(1+J19)*(1+J19)*(1+J19)*(1+J19)*Budget!$O$6,0),IF(Budget!$O$6=0,,ROUND(Worksheet!M150,0)))</f>
        <v>0</v>
      </c>
      <c r="P19" s="475">
        <f t="shared" si="0"/>
        <v>0</v>
      </c>
      <c r="Q19" s="218"/>
    </row>
    <row r="20" spans="1:17" s="216" customFormat="1" ht="12.75" hidden="1" customHeight="1" x14ac:dyDescent="0.2">
      <c r="A20" s="302">
        <v>12</v>
      </c>
      <c r="B20" s="245" t="s">
        <v>30</v>
      </c>
      <c r="C20" s="439"/>
      <c r="D20" s="440"/>
      <c r="E20" s="440"/>
      <c r="F20" s="440"/>
      <c r="G20" s="440"/>
      <c r="H20" s="440"/>
      <c r="I20" s="441" t="s">
        <v>29</v>
      </c>
      <c r="J20" s="442">
        <v>0</v>
      </c>
      <c r="K20" s="464">
        <f>IF(I20="Budget Year",ROUND(C20*D20/12*Budget!$K$6,0),IF(Budget!$K$6=0,,ROUND(Worksheet!I151,0)))</f>
        <v>0</v>
      </c>
      <c r="L20" s="464">
        <f>IF(I20="Budget Year",ROUND(C20*E20/12*(1+J20)*Budget!$L$6,0),IF(Budget!$L$6=0,,ROUND(Worksheet!J151,0)))</f>
        <v>0</v>
      </c>
      <c r="M20" s="465">
        <f>IF(I20="Budget Year",ROUND(C20*F20/12*(1+J20)*(1+J20)*Budget!$M$6,0),IF(Budget!$M$6=0,,ROUND(Worksheet!K151,0)))</f>
        <v>0</v>
      </c>
      <c r="N20" s="465">
        <f>IF(I20="Budget Year",ROUND(C20*G20/12*(1+J20)*(1+J20)*(1+J20)*Budget!$N$6,0),IF(Budget!$N$6=0,,ROUND(Worksheet!L151,0)))</f>
        <v>0</v>
      </c>
      <c r="O20" s="465">
        <f>IF(I20="Budget Year",ROUND(C20*H20/12*(1+J20)*(1+J20)*(1+J20)*(1+J20)*Budget!$O$6,0),IF(Budget!$O$6=0,,ROUND(Worksheet!M151,0)))</f>
        <v>0</v>
      </c>
      <c r="P20" s="475">
        <f t="shared" si="0"/>
        <v>0</v>
      </c>
      <c r="Q20" s="218"/>
    </row>
    <row r="21" spans="1:17" s="216" customFormat="1" ht="12.75" hidden="1" customHeight="1" x14ac:dyDescent="0.2">
      <c r="A21" s="302">
        <v>13</v>
      </c>
      <c r="B21" s="245" t="s">
        <v>30</v>
      </c>
      <c r="C21" s="439"/>
      <c r="D21" s="440"/>
      <c r="E21" s="440"/>
      <c r="F21" s="440"/>
      <c r="G21" s="440"/>
      <c r="H21" s="440"/>
      <c r="I21" s="441" t="s">
        <v>29</v>
      </c>
      <c r="J21" s="442">
        <v>0</v>
      </c>
      <c r="K21" s="464">
        <f>IF(I21="Budget Year",ROUND(C21*D21/12*Budget!$K$6,0),IF(Budget!$K$6=0,,ROUND(Worksheet!I152,0)))</f>
        <v>0</v>
      </c>
      <c r="L21" s="464">
        <f>IF(I21="Budget Year",ROUND(C21*E21/12*(1+J21)*Budget!$L$6,0),IF(Budget!$L$6=0,,ROUND(Worksheet!J152,0)))</f>
        <v>0</v>
      </c>
      <c r="M21" s="465">
        <f>IF(I21="Budget Year",ROUND(C21*F21/12*(1+J21)*(1+J21)*Budget!$M$6,0),IF(Budget!$M$6=0,,ROUND(Worksheet!K152,0)))</f>
        <v>0</v>
      </c>
      <c r="N21" s="465">
        <f>IF(I21="Budget Year",ROUND(C21*G21/12*(1+J21)*(1+J21)*(1+J21)*Budget!$N$6,0),IF(Budget!$N$6=0,,ROUND(Worksheet!L152,0)))</f>
        <v>0</v>
      </c>
      <c r="O21" s="465">
        <f>IF(I21="Budget Year",ROUND(C21*H21/12*(1+J21)*(1+J21)*(1+J21)*(1+J21)*Budget!$O$6,0),IF(Budget!$O$6=0,,ROUND(Worksheet!M152,0)))</f>
        <v>0</v>
      </c>
      <c r="P21" s="475">
        <f t="shared" si="0"/>
        <v>0</v>
      </c>
      <c r="Q21" s="218"/>
    </row>
    <row r="22" spans="1:17" s="216" customFormat="1" ht="12.75" hidden="1" customHeight="1" x14ac:dyDescent="0.2">
      <c r="A22" s="302">
        <v>14</v>
      </c>
      <c r="B22" s="245" t="s">
        <v>30</v>
      </c>
      <c r="C22" s="439"/>
      <c r="D22" s="440"/>
      <c r="E22" s="440"/>
      <c r="F22" s="440"/>
      <c r="G22" s="440"/>
      <c r="H22" s="440"/>
      <c r="I22" s="441" t="s">
        <v>29</v>
      </c>
      <c r="J22" s="442">
        <v>0</v>
      </c>
      <c r="K22" s="464">
        <f>IF(I22="Budget Year",ROUND(C22*D22/12*Budget!$K$6,0),IF(Budget!$K$6=0,,ROUND(Worksheet!I153,0)))</f>
        <v>0</v>
      </c>
      <c r="L22" s="464">
        <f>IF(I22="Budget Year",ROUND(C22*E22/12*(1+J22)*Budget!$L$6,0),IF(Budget!$L$6=0,,ROUND(Worksheet!J153,0)))</f>
        <v>0</v>
      </c>
      <c r="M22" s="465">
        <f>IF(I22="Budget Year",ROUND(C22*F22/12*(1+J22)*(1+J22)*Budget!$M$6,0),IF(Budget!$M$6=0,,ROUND(Worksheet!K153,0)))</f>
        <v>0</v>
      </c>
      <c r="N22" s="465">
        <f>IF(I22="Budget Year",ROUND(C22*G22/12*(1+J22)*(1+J22)*(1+J22)*Budget!$N$6,0),IF(Budget!$N$6=0,,ROUND(Worksheet!L153,0)))</f>
        <v>0</v>
      </c>
      <c r="O22" s="465">
        <f>IF(I22="Budget Year",ROUND(C22*H22/12*(1+J22)*(1+J22)*(1+J22)*(1+J22)*Budget!$O$6,0),IF(Budget!$O$6=0,,ROUND(Worksheet!M153,0)))</f>
        <v>0</v>
      </c>
      <c r="P22" s="475">
        <f t="shared" si="0"/>
        <v>0</v>
      </c>
      <c r="Q22" s="218"/>
    </row>
    <row r="23" spans="1:17" s="216" customFormat="1" ht="12.75" hidden="1" customHeight="1" x14ac:dyDescent="0.2">
      <c r="A23" s="302">
        <v>15</v>
      </c>
      <c r="B23" s="245" t="s">
        <v>30</v>
      </c>
      <c r="C23" s="439"/>
      <c r="D23" s="440"/>
      <c r="E23" s="440"/>
      <c r="F23" s="440"/>
      <c r="G23" s="440"/>
      <c r="H23" s="440"/>
      <c r="I23" s="441" t="s">
        <v>29</v>
      </c>
      <c r="J23" s="442">
        <v>0</v>
      </c>
      <c r="K23" s="464">
        <f>IF(I23="Budget Year",ROUND(C23*D23/12*Budget!$K$6,0),IF(Budget!$K$6=0,,ROUND(Worksheet!I154,0)))</f>
        <v>0</v>
      </c>
      <c r="L23" s="464">
        <f>IF(I23="Budget Year",ROUND(C23*E23/12*(1+J23)*Budget!$L$6,0),IF(Budget!$L$6=0,,ROUND(Worksheet!J154,0)))</f>
        <v>0</v>
      </c>
      <c r="M23" s="465">
        <f>IF(I23="Budget Year",ROUND(C23*F23/12*(1+J23)*(1+J23)*Budget!$M$6,0),IF(Budget!$M$6=0,,ROUND(Worksheet!K154,0)))</f>
        <v>0</v>
      </c>
      <c r="N23" s="465">
        <f>IF(I23="Budget Year",ROUND(C23*G23/12*(1+J23)*(1+J23)*(1+J23)*Budget!$N$6,0),IF(Budget!$N$6=0,,ROUND(Worksheet!L154,0)))</f>
        <v>0</v>
      </c>
      <c r="O23" s="465">
        <f>IF(I23="Budget Year",ROUND(C23*H23/12*(1+J23)*(1+J23)*(1+J23)*(1+J23)*Budget!$O$6,0),IF(Budget!$O$6=0,,ROUND(Worksheet!M154,0)))</f>
        <v>0</v>
      </c>
      <c r="P23" s="475">
        <f t="shared" si="0"/>
        <v>0</v>
      </c>
      <c r="Q23" s="218"/>
    </row>
    <row r="24" spans="1:17" s="216" customFormat="1" ht="12.75" hidden="1" customHeight="1" x14ac:dyDescent="0.2">
      <c r="A24" s="302">
        <v>16</v>
      </c>
      <c r="B24" s="245" t="s">
        <v>30</v>
      </c>
      <c r="C24" s="439"/>
      <c r="D24" s="440"/>
      <c r="E24" s="440"/>
      <c r="F24" s="440"/>
      <c r="G24" s="440"/>
      <c r="H24" s="440"/>
      <c r="I24" s="441" t="s">
        <v>29</v>
      </c>
      <c r="J24" s="442">
        <v>0</v>
      </c>
      <c r="K24" s="464">
        <f>IF(I24="Budget Year",ROUND(C24*D24/12*Budget!$K$6,0),IF(Budget!$K$6=0,,ROUND(Worksheet!I155,0)))</f>
        <v>0</v>
      </c>
      <c r="L24" s="464">
        <f>IF(I24="Budget Year",ROUND(C24*E24/12*(1+J24)*Budget!$L$6,0),IF(Budget!$L$6=0,,ROUND(Worksheet!J155,0)))</f>
        <v>0</v>
      </c>
      <c r="M24" s="465">
        <f>IF(I24="Budget Year",ROUND(C24*F24/12*(1+J24)*(1+J24)*Budget!$M$6,0),IF(Budget!$M$6=0,,ROUND(Worksheet!K155,0)))</f>
        <v>0</v>
      </c>
      <c r="N24" s="465">
        <f>IF(I24="Budget Year",ROUND(C24*G24/12*(1+J24)*(1+J24)*(1+J24)*Budget!$N$6,0),IF(Budget!$N$6=0,,ROUND(Worksheet!L155,0)))</f>
        <v>0</v>
      </c>
      <c r="O24" s="465">
        <f>IF(I24="Budget Year",ROUND(C24*H24/12*(1+J24)*(1+J24)*(1+J24)*(1+J24)*Budget!$O$6,0),IF(Budget!$O$6=0,,ROUND(Worksheet!M155,0)))</f>
        <v>0</v>
      </c>
      <c r="P24" s="475">
        <f t="shared" si="0"/>
        <v>0</v>
      </c>
      <c r="Q24" s="218"/>
    </row>
    <row r="25" spans="1:17" s="216" customFormat="1" ht="12.75" hidden="1" customHeight="1" x14ac:dyDescent="0.2">
      <c r="A25" s="302">
        <v>17</v>
      </c>
      <c r="B25" s="245" t="s">
        <v>30</v>
      </c>
      <c r="C25" s="439"/>
      <c r="D25" s="440"/>
      <c r="E25" s="440"/>
      <c r="F25" s="440"/>
      <c r="G25" s="440"/>
      <c r="H25" s="440"/>
      <c r="I25" s="441" t="s">
        <v>29</v>
      </c>
      <c r="J25" s="442">
        <v>0</v>
      </c>
      <c r="K25" s="464">
        <f>IF(I25="Budget Year",ROUND(C25*D25/12*Budget!$K$6,0),IF(Budget!$K$6=0,,ROUND(Worksheet!I156,0)))</f>
        <v>0</v>
      </c>
      <c r="L25" s="464">
        <f>IF(I25="Budget Year",ROUND(C25*E25/12*(1+J25)*Budget!$L$6,0),IF(Budget!$L$6=0,,ROUND(Worksheet!J156,0)))</f>
        <v>0</v>
      </c>
      <c r="M25" s="465">
        <f>IF(I25="Budget Year",ROUND(C25*F25/12*(1+J25)*(1+J25)*Budget!$M$6,0),IF(Budget!$M$6=0,,ROUND(Worksheet!K156,0)))</f>
        <v>0</v>
      </c>
      <c r="N25" s="465">
        <f>IF(I25="Budget Year",ROUND(C25*G25/12*(1+J25)*(1+J25)*(1+J25)*Budget!$N$6,0),IF(Budget!$N$6=0,,ROUND(Worksheet!L156,0)))</f>
        <v>0</v>
      </c>
      <c r="O25" s="465">
        <f>IF(I25="Budget Year",ROUND(C25*H25/12*(1+J25)*(1+J25)*(1+J25)*(1+J25)*Budget!$O$6,0),IF(Budget!$O$6=0,,ROUND(Worksheet!M156,0)))</f>
        <v>0</v>
      </c>
      <c r="P25" s="475">
        <f t="shared" si="0"/>
        <v>0</v>
      </c>
      <c r="Q25" s="218"/>
    </row>
    <row r="26" spans="1:17" s="216" customFormat="1" ht="12.75" hidden="1" customHeight="1" x14ac:dyDescent="0.2">
      <c r="A26" s="302">
        <v>18</v>
      </c>
      <c r="B26" s="245" t="s">
        <v>30</v>
      </c>
      <c r="C26" s="439"/>
      <c r="D26" s="440"/>
      <c r="E26" s="440"/>
      <c r="F26" s="440"/>
      <c r="G26" s="440"/>
      <c r="H26" s="440"/>
      <c r="I26" s="441" t="s">
        <v>29</v>
      </c>
      <c r="J26" s="442">
        <v>0</v>
      </c>
      <c r="K26" s="464">
        <f>IF(I26="Budget Year",ROUND(C26*D26/12*Budget!$K$6,0),IF(Budget!$K$6=0,,ROUND(Worksheet!I157,0)))</f>
        <v>0</v>
      </c>
      <c r="L26" s="464">
        <f>IF(I26="Budget Year",ROUND(C26*E26/12*(1+J26)*Budget!$L$6,0),IF(Budget!$L$6=0,,ROUND(Worksheet!J157,0)))</f>
        <v>0</v>
      </c>
      <c r="M26" s="465">
        <f>IF(I26="Budget Year",ROUND(C26*F26/12*(1+J26)*(1+J26)*Budget!$M$6,0),IF(Budget!$M$6=0,,ROUND(Worksheet!K157,0)))</f>
        <v>0</v>
      </c>
      <c r="N26" s="465">
        <f>IF(I26="Budget Year",ROUND(C26*G26/12*(1+J26)*(1+J26)*(1+J26)*Budget!$N$6,0),IF(Budget!$N$6=0,,ROUND(Worksheet!L157,0)))</f>
        <v>0</v>
      </c>
      <c r="O26" s="465">
        <f>IF(I26="Budget Year",ROUND(C26*H26/12*(1+J26)*(1+J26)*(1+J26)*(1+J26)*Budget!$O$6,0),IF(Budget!$O$6=0,,ROUND(Worksheet!M157,0)))</f>
        <v>0</v>
      </c>
      <c r="P26" s="475">
        <f t="shared" si="0"/>
        <v>0</v>
      </c>
      <c r="Q26" s="218"/>
    </row>
    <row r="27" spans="1:17" s="216" customFormat="1" ht="12.75" hidden="1" customHeight="1" x14ac:dyDescent="0.2">
      <c r="A27" s="302">
        <v>19</v>
      </c>
      <c r="B27" s="245" t="s">
        <v>30</v>
      </c>
      <c r="C27" s="439"/>
      <c r="D27" s="440"/>
      <c r="E27" s="440"/>
      <c r="F27" s="440"/>
      <c r="G27" s="440"/>
      <c r="H27" s="440"/>
      <c r="I27" s="441" t="s">
        <v>29</v>
      </c>
      <c r="J27" s="442">
        <v>0</v>
      </c>
      <c r="K27" s="464">
        <f>IF(I27="Budget Year",ROUND(C27*D27/12*Budget!$K$6,0),IF(Budget!$K$6=0,,ROUND(Worksheet!I158,0)))</f>
        <v>0</v>
      </c>
      <c r="L27" s="464">
        <f>IF(I27="Budget Year",ROUND(C27*E27/12*(1+J27)*Budget!$L$6,0),IF(Budget!$L$6=0,,ROUND(Worksheet!J158,0)))</f>
        <v>0</v>
      </c>
      <c r="M27" s="465">
        <f>IF(I27="Budget Year",ROUND(C27*F27/12*(1+J27)*(1+J27)*Budget!$M$6,0),IF(Budget!$M$6=0,,ROUND(Worksheet!K158,0)))</f>
        <v>0</v>
      </c>
      <c r="N27" s="465">
        <f>IF(I27="Budget Year",ROUND(C27*G27/12*(1+J27)*(1+J27)*(1+J27)*Budget!$N$6,0),IF(Budget!$N$6=0,,ROUND(Worksheet!L158,0)))</f>
        <v>0</v>
      </c>
      <c r="O27" s="465">
        <f>IF(I27="Budget Year",ROUND(C27*H27/12*(1+J27)*(1+J27)*(1+J27)*(1+J27)*Budget!$O$6,0),IF(Budget!$O$6=0,,ROUND(Worksheet!M158,0)))</f>
        <v>0</v>
      </c>
      <c r="P27" s="475">
        <f t="shared" si="0"/>
        <v>0</v>
      </c>
      <c r="Q27" s="218"/>
    </row>
    <row r="28" spans="1:17" s="216" customFormat="1" ht="12.75" hidden="1" customHeight="1" x14ac:dyDescent="0.2">
      <c r="A28" s="302">
        <v>20</v>
      </c>
      <c r="B28" s="245" t="s">
        <v>30</v>
      </c>
      <c r="C28" s="439"/>
      <c r="D28" s="440"/>
      <c r="E28" s="440"/>
      <c r="F28" s="440"/>
      <c r="G28" s="440"/>
      <c r="H28" s="440"/>
      <c r="I28" s="441" t="s">
        <v>29</v>
      </c>
      <c r="J28" s="442">
        <v>0</v>
      </c>
      <c r="K28" s="464">
        <f>IF(I28="Budget Year",ROUND(C28*D28/12*Budget!$K$6,0),IF(Budget!$K$6=0,,ROUND(Worksheet!I159,0)))</f>
        <v>0</v>
      </c>
      <c r="L28" s="464">
        <f>IF(I28="Budget Year",ROUND(C28*E28/12*(1+J28)*Budget!$L$6,0),IF(Budget!$L$6=0,,ROUND(Worksheet!J159,0)))</f>
        <v>0</v>
      </c>
      <c r="M28" s="465">
        <f>IF(I28="Budget Year",ROUND(C28*F28/12*(1+J28)*(1+J28)*Budget!$M$6,0),IF(Budget!$M$6=0,,ROUND(Worksheet!K159,0)))</f>
        <v>0</v>
      </c>
      <c r="N28" s="465">
        <f>IF(I28="Budget Year",ROUND(C28*G28/12*(1+J28)*(1+J28)*(1+J28)*Budget!$N$6,0),IF(Budget!$N$6=0,,ROUND(Worksheet!L159,0)))</f>
        <v>0</v>
      </c>
      <c r="O28" s="465">
        <f>IF(I28="Budget Year",ROUND(C28*H28/12*(1+J28)*(1+J28)*(1+J28)*(1+J28)*Budget!$O$6,0),IF(Budget!$O$6=0,,ROUND(Worksheet!M159,0)))</f>
        <v>0</v>
      </c>
      <c r="P28" s="475">
        <f t="shared" si="0"/>
        <v>0</v>
      </c>
      <c r="Q28" s="218"/>
    </row>
    <row r="29" spans="1:17" s="216" customFormat="1" ht="12.75" customHeight="1" x14ac:dyDescent="0.25">
      <c r="A29" s="823" t="s">
        <v>35</v>
      </c>
      <c r="B29" s="728"/>
      <c r="C29" s="237"/>
      <c r="D29" s="238"/>
      <c r="E29" s="238"/>
      <c r="F29" s="238"/>
      <c r="G29" s="238"/>
      <c r="H29" s="239"/>
      <c r="I29" s="239"/>
      <c r="J29" s="240"/>
      <c r="K29" s="483">
        <f>SUM(K9:K28)</f>
        <v>0</v>
      </c>
      <c r="L29" s="483">
        <f>SUM(L9:L28)</f>
        <v>0</v>
      </c>
      <c r="M29" s="483">
        <f>SUM(M9:M28)</f>
        <v>0</v>
      </c>
      <c r="N29" s="483">
        <f>SUM(N9:N28)</f>
        <v>0</v>
      </c>
      <c r="O29" s="484">
        <f>SUM(O9:O28)</f>
        <v>0</v>
      </c>
      <c r="P29" s="476">
        <f t="shared" si="0"/>
        <v>0</v>
      </c>
      <c r="Q29" s="218"/>
    </row>
    <row r="30" spans="1:17" s="216" customFormat="1" ht="12.75" customHeight="1" x14ac:dyDescent="0.2">
      <c r="A30" s="303"/>
      <c r="P30" s="304"/>
      <c r="Q30" s="218"/>
    </row>
    <row r="31" spans="1:17" s="216" customFormat="1" ht="12.75" customHeight="1" x14ac:dyDescent="0.25">
      <c r="A31" s="186" t="s">
        <v>36</v>
      </c>
      <c r="B31" s="305"/>
      <c r="C31" s="8"/>
      <c r="D31" s="834" t="s">
        <v>109</v>
      </c>
      <c r="E31" s="835"/>
      <c r="F31" s="835"/>
      <c r="G31" s="835"/>
      <c r="H31" s="836"/>
      <c r="I31" s="9"/>
      <c r="J31" s="10"/>
      <c r="K31" s="11"/>
      <c r="L31" s="11"/>
      <c r="M31" s="11"/>
      <c r="N31" s="11"/>
      <c r="O31" s="11"/>
      <c r="P31" s="162"/>
      <c r="Q31" s="218"/>
    </row>
    <row r="32" spans="1:17" s="216" customFormat="1" ht="12.75" customHeight="1" x14ac:dyDescent="0.2">
      <c r="A32" s="180"/>
      <c r="B32" s="306" t="s">
        <v>14</v>
      </c>
      <c r="C32" s="181" t="s">
        <v>39</v>
      </c>
      <c r="D32" s="307" t="s">
        <v>21</v>
      </c>
      <c r="E32" s="307" t="s">
        <v>22</v>
      </c>
      <c r="F32" s="307" t="s">
        <v>23</v>
      </c>
      <c r="G32" s="307" t="s">
        <v>24</v>
      </c>
      <c r="H32" s="307" t="s">
        <v>25</v>
      </c>
      <c r="I32" s="182"/>
      <c r="J32" s="183"/>
      <c r="K32" s="184"/>
      <c r="L32" s="184"/>
      <c r="M32" s="184"/>
      <c r="N32" s="184"/>
      <c r="O32" s="184"/>
      <c r="P32" s="185"/>
      <c r="Q32" s="218"/>
    </row>
    <row r="33" spans="1:23" s="216" customFormat="1" ht="12.75" customHeight="1" x14ac:dyDescent="0.2">
      <c r="A33" s="308">
        <f t="shared" ref="A33:B52" si="1">A9</f>
        <v>1</v>
      </c>
      <c r="B33" s="245" t="str">
        <f t="shared" si="1"/>
        <v xml:space="preserve"> </v>
      </c>
      <c r="C33" s="443" t="s">
        <v>42</v>
      </c>
      <c r="D33" s="505">
        <f>IF(C33="Select",0,IF(C33="A",Worksheet!$V$62,IF(C33="B",Worksheet!$V$63,IF(C33="C",Worksheet!$V$64,IF(C33="D",Worksheet!$V$65,IF(C33="E",Worksheet!$V$66,IF(C33="F",Worksheet!$V$67,FALSE)))))))</f>
        <v>0.44700000000000001</v>
      </c>
      <c r="E33" s="505">
        <f>IF(C33="Select",0,IF($D$31="No Projected Increases",D33,IF(C33="A",Worksheet!$W$62,IF(C33="B",Worksheet!$W$63,IF(C33="C",Worksheet!$W$64,IF(C33="D",Worksheet!$W$65,IF(C33="E",Worksheet!$W$66,IF(C33="F",Worksheet!$W$67,FALSE))))))))</f>
        <v>0.44700000000000001</v>
      </c>
      <c r="F33" s="505">
        <f>IF(C33="Select",0,IF($D$31="No Projected Increases",D33,IF(C33="A",Worksheet!$X$62,IF(C33="B",Worksheet!$X$63,IF(C33="C",Worksheet!$X$64,IF(C33="D",Worksheet!$X$64,IF(C33="E",Worksheet!$X$66,IF(C33="F",Worksheet!$X$67,FALSE))))))))</f>
        <v>0.44700000000000001</v>
      </c>
      <c r="G33" s="505">
        <f>IF(C33="Select",0,IF($D$31="No Projected Increases",D33,IF(C33="A",Worksheet!$Y$62,IF(C33="B",Worksheet!$Y$63,IF(C33="C",Worksheet!$Y$64,IF(C33="D",Worksheet!$Y$65,IF(C33="E",Worksheet!$Y$66,IF(C33="F",Worksheet!$Y$67,FALSE))))))))</f>
        <v>0.44700000000000001</v>
      </c>
      <c r="H33" s="505">
        <f>IF(C33="Select",0,IF($D$31="No Projected Increases",D33,IF(C33="A",Worksheet!$Z$62,IF(C33="B",Worksheet!$Z$63,IF(C33="C",Worksheet!$Z$64,IF(C33="D",Worksheet!$Z$65,IF(C33="E",Worksheet!$Z$66,IF(C33="F",Worksheet!$Z$67,FALSE))))))))</f>
        <v>0.44700000000000001</v>
      </c>
      <c r="I33" s="336">
        <f>IF(C33="Select",0,IF($D$31="No Projected Increases",D33,IF(C33="A",Worksheet!$AA$62,IF(C33="B",Worksheet!$AA$63,IF(C33="C",Worksheet!$AA$64,IF(C33="D",Worksheet!$AA$65,IF(C33="E",Worksheet!$AA$66,IF(C33="F",Worksheet!$AA$67,FALSE))))))))</f>
        <v>0.44700000000000001</v>
      </c>
      <c r="J33" s="176"/>
      <c r="K33" s="464">
        <f>ROUND(K9*(((D33*Worksheet!$B$6)+(E33*Worksheet!$B$7))/Worksheet!$B$5),0)</f>
        <v>0</v>
      </c>
      <c r="L33" s="464">
        <f>IF(Budget!$L$6=0,"",(ROUND(L9*(((E33*Worksheet!$C$6)+(F33*Worksheet!$C$7))/Worksheet!$C$5),0)))</f>
        <v>0</v>
      </c>
      <c r="M33" s="464">
        <f>IF(Budget!$M$6=0,"",(ROUND(M9*(((F33*Worksheet!$D$6)+(G33*Worksheet!$D$7))/Worksheet!$D$5),0)))</f>
        <v>0</v>
      </c>
      <c r="N33" s="464">
        <f>IF(Budget!$N$6=0,"",(ROUND(N9*(((G33*Worksheet!$E$6)+(H33*Worksheet!$E$7))/Worksheet!$E$5),0)))</f>
        <v>0</v>
      </c>
      <c r="O33" s="464">
        <f>IF(Budget!$O$6=0,"",(ROUND(O9*(((H33*Worksheet!$F$6)+(I33*Worksheet!$F$7))/Worksheet!$F$5),0)))</f>
        <v>0</v>
      </c>
      <c r="P33" s="475">
        <f t="shared" ref="P33:P53" si="2">SUM(K33:O33)</f>
        <v>0</v>
      </c>
      <c r="Q33" s="218"/>
      <c r="R33" s="641" t="s">
        <v>110</v>
      </c>
      <c r="S33" s="642"/>
      <c r="T33" s="642"/>
      <c r="U33" s="642"/>
      <c r="V33" s="642"/>
      <c r="W33" s="643"/>
    </row>
    <row r="34" spans="1:23" s="216" customFormat="1" ht="12.75" customHeight="1" x14ac:dyDescent="0.2">
      <c r="A34" s="308">
        <f t="shared" si="1"/>
        <v>2</v>
      </c>
      <c r="B34" s="245" t="str">
        <f t="shared" si="1"/>
        <v xml:space="preserve"> </v>
      </c>
      <c r="C34" s="443" t="s">
        <v>42</v>
      </c>
      <c r="D34" s="505">
        <f>IF(C34="Select",0,IF(C34="A",Worksheet!$V$62,IF(C34="B",Worksheet!$V$63,IF(C34="C",Worksheet!$V$64,IF(C34="D",Worksheet!$V$65,IF(C34="E",Worksheet!$V$66,IF(C34="F",Worksheet!$V$67,FALSE)))))))</f>
        <v>0.44700000000000001</v>
      </c>
      <c r="E34" s="505">
        <f>IF(C34="Select",0,IF($D$31="No Projected Increases",D34,IF(C34="A",Worksheet!$W$62,IF(C34="B",Worksheet!$W$63,IF(C34="C",Worksheet!$W$64,IF(C34="D",Worksheet!$W$65,IF(C34="E",Worksheet!$W$66,IF(C34="F",Worksheet!$W$67,FALSE))))))))</f>
        <v>0.44700000000000001</v>
      </c>
      <c r="F34" s="505">
        <f>IF(C34="Select",0,IF($D$31="No Projected Increases",D34,IF(C34="A",Worksheet!$X$62,IF(C34="B",Worksheet!$X$63,IF(C34="C",Worksheet!$X$64,IF(C34="D",Worksheet!$X$64,IF(C34="E",Worksheet!$X$66,IF(C34="F",Worksheet!$X$67,FALSE))))))))</f>
        <v>0.44700000000000001</v>
      </c>
      <c r="G34" s="505">
        <f>IF(C34="Select",0,IF($D$31="No Projected Increases",D34,IF(C34="A",Worksheet!$Y$62,IF(C34="B",Worksheet!$Y$63,IF(C34="C",Worksheet!$Y$64,IF(C34="D",Worksheet!$Y$65,IF(C34="E",Worksheet!$Y$66,IF(C34="F",Worksheet!$Y$67,FALSE))))))))</f>
        <v>0.44700000000000001</v>
      </c>
      <c r="H34" s="505">
        <f>IF(C34="Select",0,IF($D$31="No Projected Increases",D34,IF(C34="A",Worksheet!$Z$62,IF(C34="B",Worksheet!$Z$63,IF(C34="C",Worksheet!$Z$64,IF(C34="D",Worksheet!$Z$65,IF(C34="E",Worksheet!$Z$66,IF(C34="F",Worksheet!$Z$67,FALSE))))))))</f>
        <v>0.44700000000000001</v>
      </c>
      <c r="I34" s="336">
        <f>IF(C34="Select",0,IF($D$31="No Projected Increases",D34,IF(C34="A",Worksheet!$AA$62,IF(C34="B",Worksheet!$AA$63,IF(C34="C",Worksheet!$AA$64,IF(C34="D",Worksheet!$AA$65,IF(C34="E",Worksheet!$AA$66,IF(C34="F",Worksheet!$AA$67,FALSE))))))))</f>
        <v>0.44700000000000001</v>
      </c>
      <c r="J34" s="176"/>
      <c r="K34" s="464">
        <f>ROUND(K10*(((D34*Worksheet!$B$6)+(E34*Worksheet!$B$7))/Worksheet!$B$5),0)</f>
        <v>0</v>
      </c>
      <c r="L34" s="464">
        <f>IF(Budget!$L$6=0,"",(ROUND(L10*(((E34*Worksheet!$C$6)+(F34*Worksheet!$C$7))/Worksheet!$C$5),0)))</f>
        <v>0</v>
      </c>
      <c r="M34" s="464">
        <f>IF(Budget!$M$6=0,"",(ROUND(M10*(((F34*Worksheet!$D$6)+(G34*Worksheet!$D$7))/Worksheet!$D$5),0)))</f>
        <v>0</v>
      </c>
      <c r="N34" s="464">
        <f>IF(Budget!$N$6=0,"",(ROUND(N10*(((G34*Worksheet!$E$6)+(H34*Worksheet!$E$7))/Worksheet!$E$5),0)))</f>
        <v>0</v>
      </c>
      <c r="O34" s="464">
        <f>IF(Budget!$O$6=0,"",(ROUND(O10*(((H34*Worksheet!$F$6)+(I34*Worksheet!$F$7))/Worksheet!$F$5),0)))</f>
        <v>0</v>
      </c>
      <c r="P34" s="475">
        <f t="shared" si="2"/>
        <v>0</v>
      </c>
      <c r="Q34" s="218"/>
    </row>
    <row r="35" spans="1:23" s="216" customFormat="1" ht="12.75" customHeight="1" x14ac:dyDescent="0.2">
      <c r="A35" s="308">
        <f t="shared" si="1"/>
        <v>3</v>
      </c>
      <c r="B35" s="245" t="str">
        <f t="shared" si="1"/>
        <v xml:space="preserve"> </v>
      </c>
      <c r="C35" s="443" t="s">
        <v>42</v>
      </c>
      <c r="D35" s="505">
        <f>IF(C35="Select",0,IF(C35="A",Worksheet!$V$62,IF(C35="B",Worksheet!$V$63,IF(C35="C",Worksheet!$V$64,IF(C35="D",Worksheet!$V$65,IF(C35="E",Worksheet!$V$66,IF(C35="F",Worksheet!$V$67,FALSE)))))))</f>
        <v>0.44700000000000001</v>
      </c>
      <c r="E35" s="505">
        <f>IF(C35="Select",0,IF($D$31="No Projected Increases",D35,IF(C35="A",Worksheet!$W$62,IF(C35="B",Worksheet!$W$63,IF(C35="C",Worksheet!$W$64,IF(C35="D",Worksheet!$W$65,IF(C35="E",Worksheet!$W$66,IF(C35="F",Worksheet!$W$67,FALSE))))))))</f>
        <v>0.44700000000000001</v>
      </c>
      <c r="F35" s="505">
        <f>IF(C35="Select",0,IF($D$31="No Projected Increases",D35,IF(C35="A",Worksheet!$X$62,IF(C35="B",Worksheet!$X$63,IF(C35="C",Worksheet!$X$64,IF(C35="D",Worksheet!$X$64,IF(C35="E",Worksheet!$X$66,IF(C35="F",Worksheet!$X$67,FALSE))))))))</f>
        <v>0.44700000000000001</v>
      </c>
      <c r="G35" s="505">
        <f>IF(C35="Select",0,IF($D$31="No Projected Increases",D35,IF(C35="A",Worksheet!$Y$62,IF(C35="B",Worksheet!$Y$63,IF(C35="C",Worksheet!$Y$64,IF(C35="D",Worksheet!$Y$65,IF(C35="E",Worksheet!$Y$66,IF(C35="F",Worksheet!$Y$67,FALSE))))))))</f>
        <v>0.44700000000000001</v>
      </c>
      <c r="H35" s="505">
        <f>IF(C35="Select",0,IF($D$31="No Projected Increases",D35,IF(C35="A",Worksheet!$Z$62,IF(C35="B",Worksheet!$Z$63,IF(C35="C",Worksheet!$Z$64,IF(C35="D",Worksheet!$Z$65,IF(C35="E",Worksheet!$Z$66,IF(C35="F",Worksheet!$Z$67,FALSE))))))))</f>
        <v>0.44700000000000001</v>
      </c>
      <c r="I35" s="336">
        <f>IF(C35="Select",0,IF($D$31="No Projected Increases",D35,IF(C35="A",Worksheet!$AA$62,IF(C35="B",Worksheet!$AA$63,IF(C35="C",Worksheet!$AA$64,IF(C35="D",Worksheet!$AA$65,IF(C35="E",Worksheet!$AA$66,IF(C35="F",Worksheet!$AA$67,FALSE))))))))</f>
        <v>0.44700000000000001</v>
      </c>
      <c r="J35" s="176"/>
      <c r="K35" s="464">
        <f>ROUND(K11*(((D35*Worksheet!$B$6)+(E35*Worksheet!$B$7))/Worksheet!$B$5),0)</f>
        <v>0</v>
      </c>
      <c r="L35" s="464">
        <f>IF(Budget!$L$6=0,"",(ROUND(L11*(((E35*Worksheet!$C$6)+(F35*Worksheet!$C$7))/Worksheet!$C$5),0)))</f>
        <v>0</v>
      </c>
      <c r="M35" s="464">
        <f>IF(Budget!$M$6=0,"",(ROUND(M11*(((F35*Worksheet!$D$6)+(G35*Worksheet!$D$7))/Worksheet!$D$5),0)))</f>
        <v>0</v>
      </c>
      <c r="N35" s="464">
        <f>IF(Budget!$N$6=0,"",(ROUND(N11*(((G35*Worksheet!$E$6)+(H35*Worksheet!$E$7))/Worksheet!$E$5),0)))</f>
        <v>0</v>
      </c>
      <c r="O35" s="464">
        <f>IF(Budget!$O$6=0,"",(ROUND(O11*(((H35*Worksheet!$F$6)+(I35*Worksheet!$F$7))/Worksheet!$F$5),0)))</f>
        <v>0</v>
      </c>
      <c r="P35" s="475">
        <f t="shared" si="2"/>
        <v>0</v>
      </c>
      <c r="Q35" s="218"/>
    </row>
    <row r="36" spans="1:23" s="216" customFormat="1" ht="12.75" customHeight="1" x14ac:dyDescent="0.2">
      <c r="A36" s="308">
        <f t="shared" si="1"/>
        <v>4</v>
      </c>
      <c r="B36" s="245" t="str">
        <f t="shared" si="1"/>
        <v xml:space="preserve"> </v>
      </c>
      <c r="C36" s="443" t="s">
        <v>216</v>
      </c>
      <c r="D36" s="505">
        <f>IF(C36="Select",0,IF(C36="A",Worksheet!$V$62,IF(C36="B",Worksheet!$V$63,IF(C36="C",Worksheet!$V$64,IF(C36="D",Worksheet!$V$65,IF(C36="E",Worksheet!$V$66,IF(C36="F",Worksheet!$V$67,FALSE)))))))</f>
        <v>0</v>
      </c>
      <c r="E36" s="505">
        <f>IF(C36="Select",0,IF($D$31="No Projected Increases",D36,IF(C36="A",Worksheet!$W$62,IF(C36="B",Worksheet!$W$63,IF(C36="C",Worksheet!$W$64,IF(C36="D",Worksheet!$W$65,IF(C36="E",Worksheet!$W$66,IF(C36="F",Worksheet!$W$67,FALSE))))))))</f>
        <v>0</v>
      </c>
      <c r="F36" s="505">
        <f>IF(C36="Select",0,IF($D$31="No Projected Increases",D36,IF(C36="A",Worksheet!$X$62,IF(C36="B",Worksheet!$X$63,IF(C36="C",Worksheet!$X$64,IF(C36="D",Worksheet!$X$64,IF(C36="E",Worksheet!$X$66,IF(C36="F",Worksheet!$X$67,FALSE))))))))</f>
        <v>0</v>
      </c>
      <c r="G36" s="505">
        <f>IF(C36="Select",0,IF($D$31="No Projected Increases",D36,IF(C36="A",Worksheet!$Y$62,IF(C36="B",Worksheet!$Y$63,IF(C36="C",Worksheet!$Y$64,IF(C36="D",Worksheet!$Y$65,IF(C36="E",Worksheet!$Y$66,IF(C36="F",Worksheet!$Y$67,FALSE))))))))</f>
        <v>0</v>
      </c>
      <c r="H36" s="505">
        <f>IF(C36="Select",0,IF($D$31="No Projected Increases",D36,IF(C36="A",Worksheet!$Z$62,IF(C36="B",Worksheet!$Z$63,IF(C36="C",Worksheet!$Z$64,IF(C36="D",Worksheet!$Z$65,IF(C36="E",Worksheet!$Z$66,IF(C36="F",Worksheet!$Z$67,FALSE))))))))</f>
        <v>0</v>
      </c>
      <c r="I36" s="336">
        <f>IF(C36="Select",0,IF($D$31="No Projected Increases",D36,IF(C36="A",Worksheet!$AA$62,IF(C36="B",Worksheet!$AA$63,IF(C36="C",Worksheet!$AA$64,IF(C36="D",Worksheet!$AA$65,IF(C36="E",Worksheet!$AA$66,IF(C36="F",Worksheet!$AA$67,FALSE))))))))</f>
        <v>0</v>
      </c>
      <c r="J36" s="176"/>
      <c r="K36" s="464">
        <f>ROUND(K12*(((D36*Worksheet!$B$6)+(E36*Worksheet!$B$7))/Worksheet!$B$5),0)</f>
        <v>0</v>
      </c>
      <c r="L36" s="464">
        <f>IF(Budget!$L$6=0,"",(ROUND(L12*(((E36*Worksheet!$C$6)+(F36*Worksheet!$C$7))/Worksheet!$C$5),0)))</f>
        <v>0</v>
      </c>
      <c r="M36" s="464">
        <f>IF(Budget!$M$6=0,"",(ROUND(M12*(((F36*Worksheet!$D$6)+(G36*Worksheet!$D$7))/Worksheet!$D$5),0)))</f>
        <v>0</v>
      </c>
      <c r="N36" s="464">
        <f>IF(Budget!$N$6=0,"",(ROUND(N12*(((G36*Worksheet!$E$6)+(H36*Worksheet!$E$7))/Worksheet!$E$5),0)))</f>
        <v>0</v>
      </c>
      <c r="O36" s="464">
        <f>IF(Budget!$O$6=0,"",(ROUND(O12*(((H36*Worksheet!$F$6)+(I36*Worksheet!$F$7))/Worksheet!$F$5),0)))</f>
        <v>0</v>
      </c>
      <c r="P36" s="475">
        <f t="shared" si="2"/>
        <v>0</v>
      </c>
      <c r="Q36" s="218"/>
    </row>
    <row r="37" spans="1:23" s="216" customFormat="1" ht="12.75" customHeight="1" x14ac:dyDescent="0.2">
      <c r="A37" s="308">
        <f t="shared" si="1"/>
        <v>5</v>
      </c>
      <c r="B37" s="245" t="str">
        <f t="shared" si="1"/>
        <v xml:space="preserve"> </v>
      </c>
      <c r="C37" s="443" t="s">
        <v>216</v>
      </c>
      <c r="D37" s="505">
        <f>IF(C37="Select",0,IF(C37="A",Worksheet!$V$62,IF(C37="B",Worksheet!$V$63,IF(C37="C",Worksheet!$V$64,IF(C37="D",Worksheet!$V$65,IF(C37="E",Worksheet!$V$66,IF(C37="F",Worksheet!$V$67,FALSE)))))))</f>
        <v>0</v>
      </c>
      <c r="E37" s="505">
        <f>IF(C37="Select",0,IF($D$31="No Projected Increases",D37,IF(C37="A",Worksheet!$W$62,IF(C37="B",Worksheet!$W$63,IF(C37="C",Worksheet!$W$64,IF(C37="D",Worksheet!$W$65,IF(C37="E",Worksheet!$W$66,IF(C37="F",Worksheet!$W$67,FALSE))))))))</f>
        <v>0</v>
      </c>
      <c r="F37" s="505">
        <f>IF(C37="Select",0,IF($D$31="No Projected Increases",D37,IF(C37="A",Worksheet!$X$62,IF(C37="B",Worksheet!$X$63,IF(C37="C",Worksheet!$X$64,IF(C37="D",Worksheet!$X$64,IF(C37="E",Worksheet!$X$66,IF(C37="F",Worksheet!$X$67,FALSE))))))))</f>
        <v>0</v>
      </c>
      <c r="G37" s="505">
        <f>IF(C37="Select",0,IF($D$31="No Projected Increases",D37,IF(C37="A",Worksheet!$Y$62,IF(C37="B",Worksheet!$Y$63,IF(C37="C",Worksheet!$Y$64,IF(C37="D",Worksheet!$Y$65,IF(C37="E",Worksheet!$Y$66,IF(C37="F",Worksheet!$Y$67,FALSE))))))))</f>
        <v>0</v>
      </c>
      <c r="H37" s="505">
        <f>IF(C37="Select",0,IF($D$31="No Projected Increases",D37,IF(C37="A",Worksheet!$Z$62,IF(C37="B",Worksheet!$Z$63,IF(C37="C",Worksheet!$Z$64,IF(C37="D",Worksheet!$Z$65,IF(C37="E",Worksheet!$Z$66,IF(C37="F",Worksheet!$Z$67,FALSE))))))))</f>
        <v>0</v>
      </c>
      <c r="I37" s="336">
        <f>IF(C37="Select",0,IF($D$31="No Projected Increases",D37,IF(C37="A",Worksheet!$AA$62,IF(C37="B",Worksheet!$AA$63,IF(C37="C",Worksheet!$AA$64,IF(C37="D",Worksheet!$AA$65,IF(C37="E",Worksheet!$AA$66,IF(C37="F",Worksheet!$AA$67,FALSE))))))))</f>
        <v>0</v>
      </c>
      <c r="J37" s="176"/>
      <c r="K37" s="464">
        <f>ROUND(K13*(((D37*Worksheet!$B$6)+(E37*Worksheet!$B$7))/Worksheet!$B$5),0)</f>
        <v>0</v>
      </c>
      <c r="L37" s="464">
        <f>IF(Budget!$L$6=0,"",(ROUND(L13*(((E37*Worksheet!$C$6)+(F37*Worksheet!$C$7))/Worksheet!$C$5),0)))</f>
        <v>0</v>
      </c>
      <c r="M37" s="464">
        <f>IF(Budget!$M$6=0,"",(ROUND(M13*(((F37*Worksheet!$D$6)+(G37*Worksheet!$D$7))/Worksheet!$D$5),0)))</f>
        <v>0</v>
      </c>
      <c r="N37" s="464">
        <f>IF(Budget!$N$6=0,"",(ROUND(N13*(((G37*Worksheet!$E$6)+(H37*Worksheet!$E$7))/Worksheet!$E$5),0)))</f>
        <v>0</v>
      </c>
      <c r="O37" s="464">
        <f>IF(Budget!$O$6=0,"",(ROUND(O13*(((H37*Worksheet!$F$6)+(I37*Worksheet!$F$7))/Worksheet!$F$5),0)))</f>
        <v>0</v>
      </c>
      <c r="P37" s="475">
        <f t="shared" si="2"/>
        <v>0</v>
      </c>
      <c r="Q37" s="218"/>
    </row>
    <row r="38" spans="1:23" s="216" customFormat="1" ht="12.75" customHeight="1" x14ac:dyDescent="0.2">
      <c r="A38" s="308">
        <f t="shared" si="1"/>
        <v>6</v>
      </c>
      <c r="B38" s="245" t="str">
        <f t="shared" si="1"/>
        <v xml:space="preserve"> </v>
      </c>
      <c r="C38" s="443" t="s">
        <v>216</v>
      </c>
      <c r="D38" s="505">
        <f>IF(C38="Select",0,IF(C38="A",Worksheet!$V$62,IF(C38="B",Worksheet!$V$63,IF(C38="C",Worksheet!$V$64,IF(C38="D",Worksheet!$V$65,IF(C38="E",Worksheet!$V$66,IF(C38="F",Worksheet!$V$67,FALSE)))))))</f>
        <v>0</v>
      </c>
      <c r="E38" s="505">
        <f>IF(C38="Select",0,IF($D$31="No Projected Increases",D38,IF(C38="A",Worksheet!$W$62,IF(C38="B",Worksheet!$W$63,IF(C38="C",Worksheet!$W$64,IF(C38="D",Worksheet!$W$65,IF(C38="E",Worksheet!$W$66,IF(C38="F",Worksheet!$W$67,FALSE))))))))</f>
        <v>0</v>
      </c>
      <c r="F38" s="505">
        <f>IF(C38="Select",0,IF($D$31="No Projected Increases",D38,IF(C38="A",Worksheet!$X$62,IF(C38="B",Worksheet!$X$63,IF(C38="C",Worksheet!$X$64,IF(C38="D",Worksheet!$X$64,IF(C38="E",Worksheet!$X$66,IF(C38="F",Worksheet!$X$67,FALSE))))))))</f>
        <v>0</v>
      </c>
      <c r="G38" s="505">
        <f>IF(C38="Select",0,IF($D$31="No Projected Increases",D38,IF(C38="A",Worksheet!$Y$62,IF(C38="B",Worksheet!$Y$63,IF(C38="C",Worksheet!$Y$64,IF(C38="D",Worksheet!$Y$65,IF(C38="E",Worksheet!$Y$66,IF(C38="F",Worksheet!$Y$67,FALSE))))))))</f>
        <v>0</v>
      </c>
      <c r="H38" s="505">
        <f>IF(C38="Select",0,IF($D$31="No Projected Increases",D38,IF(C38="A",Worksheet!$Z$62,IF(C38="B",Worksheet!$Z$63,IF(C38="C",Worksheet!$Z$64,IF(C38="D",Worksheet!$Z$65,IF(C38="E",Worksheet!$Z$66,IF(C38="F",Worksheet!$Z$67,FALSE))))))))</f>
        <v>0</v>
      </c>
      <c r="I38" s="336">
        <f>IF(C38="Select",0,IF($D$31="No Projected Increases",D38,IF(C38="A",Worksheet!$AA$62,IF(C38="B",Worksheet!$AA$63,IF(C38="C",Worksheet!$AA$64,IF(C38="D",Worksheet!$AA$65,IF(C38="E",Worksheet!$AA$66,IF(C38="F",Worksheet!$AA$67,FALSE))))))))</f>
        <v>0</v>
      </c>
      <c r="J38" s="176"/>
      <c r="K38" s="464">
        <f>ROUND(K14*(((D38*Worksheet!$B$6)+(E38*Worksheet!$B$7))/Worksheet!$B$5),0)</f>
        <v>0</v>
      </c>
      <c r="L38" s="464">
        <f>IF(Budget!$L$6=0,"",(ROUND(L14*(((E38*Worksheet!$C$6)+(F38*Worksheet!$C$7))/Worksheet!$C$5),0)))</f>
        <v>0</v>
      </c>
      <c r="M38" s="464">
        <f>IF(Budget!$M$6=0,"",(ROUND(M14*(((F38*Worksheet!$D$6)+(G38*Worksheet!$D$7))/Worksheet!$D$5),0)))</f>
        <v>0</v>
      </c>
      <c r="N38" s="464">
        <f>IF(Budget!$N$6=0,"",(ROUND(N14*(((G38*Worksheet!$E$6)+(H38*Worksheet!$E$7))/Worksheet!$E$5),0)))</f>
        <v>0</v>
      </c>
      <c r="O38" s="464">
        <f>IF(Budget!$O$6=0,"",(ROUND(O14*(((H38*Worksheet!$F$6)+(I38*Worksheet!$F$7))/Worksheet!$F$5),0)))</f>
        <v>0</v>
      </c>
      <c r="P38" s="475">
        <f t="shared" si="2"/>
        <v>0</v>
      </c>
      <c r="Q38" s="218"/>
    </row>
    <row r="39" spans="1:23" s="216" customFormat="1" ht="12.75" customHeight="1" x14ac:dyDescent="0.2">
      <c r="A39" s="308">
        <f t="shared" si="1"/>
        <v>7</v>
      </c>
      <c r="B39" s="245" t="str">
        <f t="shared" si="1"/>
        <v xml:space="preserve"> </v>
      </c>
      <c r="C39" s="443" t="s">
        <v>216</v>
      </c>
      <c r="D39" s="505">
        <f>IF(C39="Select",0,IF(C39="A",Worksheet!$V$62,IF(C39="B",Worksheet!$V$63,IF(C39="C",Worksheet!$V$64,IF(C39="D",Worksheet!$V$65,IF(C39="E",Worksheet!$V$66,IF(C39="F",Worksheet!$V$67,FALSE)))))))</f>
        <v>0</v>
      </c>
      <c r="E39" s="505">
        <f>IF(C39="Select",0,IF($D$31="No Projected Increases",D39,IF(C39="A",Worksheet!$W$62,IF(C39="B",Worksheet!$W$63,IF(C39="C",Worksheet!$W$64,IF(C39="D",Worksheet!$W$65,IF(C39="E",Worksheet!$W$66,IF(C39="F",Worksheet!$W$67,FALSE))))))))</f>
        <v>0</v>
      </c>
      <c r="F39" s="505">
        <f>IF(C39="Select",0,IF($D$31="No Projected Increases",D39,IF(C39="A",Worksheet!$X$62,IF(C39="B",Worksheet!$X$63,IF(C39="C",Worksheet!$X$64,IF(C39="D",Worksheet!$X$64,IF(C39="E",Worksheet!$X$66,IF(C39="F",Worksheet!$X$67,FALSE))))))))</f>
        <v>0</v>
      </c>
      <c r="G39" s="505">
        <f>IF(C39="Select",0,IF($D$31="No Projected Increases",D39,IF(C39="A",Worksheet!$Y$62,IF(C39="B",Worksheet!$Y$63,IF(C39="C",Worksheet!$Y$64,IF(C39="D",Worksheet!$Y$65,IF(C39="E",Worksheet!$Y$66,IF(C39="F",Worksheet!$Y$67,FALSE))))))))</f>
        <v>0</v>
      </c>
      <c r="H39" s="505">
        <f>IF(C39="Select",0,IF($D$31="No Projected Increases",D39,IF(C39="A",Worksheet!$Z$62,IF(C39="B",Worksheet!$Z$63,IF(C39="C",Worksheet!$Z$64,IF(C39="D",Worksheet!$Z$65,IF(C39="E",Worksheet!$Z$66,IF(C39="F",Worksheet!$Z$67,FALSE))))))))</f>
        <v>0</v>
      </c>
      <c r="I39" s="336">
        <f>IF(C39="Select",0,IF($D$31="No Projected Increases",D39,IF(C39="A",Worksheet!$AA$62,IF(C39="B",Worksheet!$AA$63,IF(C39="C",Worksheet!$AA$64,IF(C39="D",Worksheet!$AA$65,IF(C39="E",Worksheet!$AA$66,IF(C39="F",Worksheet!$AA$67,FALSE))))))))</f>
        <v>0</v>
      </c>
      <c r="J39" s="176"/>
      <c r="K39" s="464">
        <f>ROUND(K15*(((D39*Worksheet!$B$6)+(E39*Worksheet!$B$7))/Worksheet!$B$5),0)</f>
        <v>0</v>
      </c>
      <c r="L39" s="464">
        <f>IF(Budget!$L$6=0,"",(ROUND(L15*(((E39*Worksheet!$C$6)+(F39*Worksheet!$C$7))/Worksheet!$C$5),0)))</f>
        <v>0</v>
      </c>
      <c r="M39" s="464">
        <f>IF(Budget!$M$6=0,"",(ROUND(M15*(((F39*Worksheet!$D$6)+(G39*Worksheet!$D$7))/Worksheet!$D$5),0)))</f>
        <v>0</v>
      </c>
      <c r="N39" s="464">
        <f>IF(Budget!$N$6=0,"",(ROUND(N15*(((G39*Worksheet!$E$6)+(H39*Worksheet!$E$7))/Worksheet!$E$5),0)))</f>
        <v>0</v>
      </c>
      <c r="O39" s="464">
        <f>IF(Budget!$O$6=0,"",(ROUND(O15*(((H39*Worksheet!$F$6)+(I39*Worksheet!$F$7))/Worksheet!$F$5),0)))</f>
        <v>0</v>
      </c>
      <c r="P39" s="475">
        <f t="shared" si="2"/>
        <v>0</v>
      </c>
      <c r="Q39" s="218"/>
    </row>
    <row r="40" spans="1:23" s="216" customFormat="1" ht="12.75" customHeight="1" x14ac:dyDescent="0.2">
      <c r="A40" s="308">
        <f t="shared" si="1"/>
        <v>8</v>
      </c>
      <c r="B40" s="245" t="str">
        <f t="shared" si="1"/>
        <v xml:space="preserve"> </v>
      </c>
      <c r="C40" s="443" t="s">
        <v>216</v>
      </c>
      <c r="D40" s="505">
        <f>IF(C40="Select",0,IF(C40="A",Worksheet!$V$62,IF(C40="B",Worksheet!$V$63,IF(C40="C",Worksheet!$V$64,IF(C40="D",Worksheet!$V$65,IF(C40="E",Worksheet!$V$66,IF(C40="F",Worksheet!$V$67,FALSE)))))))</f>
        <v>0</v>
      </c>
      <c r="E40" s="505">
        <f>IF(C40="Select",0,IF($D$31="No Projected Increases",D40,IF(C40="A",Worksheet!$W$62,IF(C40="B",Worksheet!$W$63,IF(C40="C",Worksheet!$W$64,IF(C40="D",Worksheet!$W$65,IF(C40="E",Worksheet!$W$66,IF(C40="F",Worksheet!$W$67,FALSE))))))))</f>
        <v>0</v>
      </c>
      <c r="F40" s="505">
        <f>IF(C40="Select",0,IF($D$31="No Projected Increases",D40,IF(C40="A",Worksheet!$X$62,IF(C40="B",Worksheet!$X$63,IF(C40="C",Worksheet!$X$64,IF(C40="D",Worksheet!$X$64,IF(C40="E",Worksheet!$X$66,IF(C40="F",Worksheet!$X$67,FALSE))))))))</f>
        <v>0</v>
      </c>
      <c r="G40" s="505">
        <f>IF(C40="Select",0,IF($D$31="No Projected Increases",D40,IF(C40="A",Worksheet!$Y$62,IF(C40="B",Worksheet!$Y$63,IF(C40="C",Worksheet!$Y$64,IF(C40="D",Worksheet!$Y$65,IF(C40="E",Worksheet!$Y$66,IF(C40="F",Worksheet!$Y$67,FALSE))))))))</f>
        <v>0</v>
      </c>
      <c r="H40" s="505">
        <f>IF(C40="Select",0,IF($D$31="No Projected Increases",D40,IF(C40="A",Worksheet!$Z$62,IF(C40="B",Worksheet!$Z$63,IF(C40="C",Worksheet!$Z$64,IF(C40="D",Worksheet!$Z$65,IF(C40="E",Worksheet!$Z$66,IF(C40="F",Worksheet!$Z$67,FALSE))))))))</f>
        <v>0</v>
      </c>
      <c r="I40" s="336">
        <f>IF(C40="Select",0,IF($D$31="No Projected Increases",D40,IF(C40="A",Worksheet!$AA$62,IF(C40="B",Worksheet!$AA$63,IF(C40="C",Worksheet!$AA$64,IF(C40="D",Worksheet!$AA$65,IF(C40="E",Worksheet!$AA$66,IF(C40="F",Worksheet!$AA$67,FALSE))))))))</f>
        <v>0</v>
      </c>
      <c r="J40" s="176"/>
      <c r="K40" s="464">
        <f>ROUND(K16*(((D40*Worksheet!$B$6)+(E40*Worksheet!$B$7))/Worksheet!$B$5),0)</f>
        <v>0</v>
      </c>
      <c r="L40" s="464">
        <f>IF(Budget!$L$6=0,"",(ROUND(L16*(((E40*Worksheet!$C$6)+(F40*Worksheet!$C$7))/Worksheet!$C$5),0)))</f>
        <v>0</v>
      </c>
      <c r="M40" s="464">
        <f>IF(Budget!$M$6=0,"",(ROUND(M16*(((F40*Worksheet!$D$6)+(G40*Worksheet!$D$7))/Worksheet!$D$5),0)))</f>
        <v>0</v>
      </c>
      <c r="N40" s="464">
        <f>IF(Budget!$N$6=0,"",(ROUND(N16*(((G40*Worksheet!$E$6)+(H40*Worksheet!$E$7))/Worksheet!$E$5),0)))</f>
        <v>0</v>
      </c>
      <c r="O40" s="464">
        <f>IF(Budget!$O$6=0,"",(ROUND(O16*(((H40*Worksheet!$F$6)+(I40*Worksheet!$F$7))/Worksheet!$F$5),0)))</f>
        <v>0</v>
      </c>
      <c r="P40" s="475">
        <f t="shared" si="2"/>
        <v>0</v>
      </c>
      <c r="Q40" s="218"/>
    </row>
    <row r="41" spans="1:23" s="216" customFormat="1" ht="12.75" customHeight="1" x14ac:dyDescent="0.2">
      <c r="A41" s="308">
        <f t="shared" si="1"/>
        <v>9</v>
      </c>
      <c r="B41" s="245" t="str">
        <f t="shared" si="1"/>
        <v xml:space="preserve"> </v>
      </c>
      <c r="C41" s="443" t="s">
        <v>216</v>
      </c>
      <c r="D41" s="505">
        <f>IF(C41="Select",0,IF(C41="A",Worksheet!$V$62,IF(C41="B",Worksheet!$V$63,IF(C41="C",Worksheet!$V$64,IF(C41="D",Worksheet!$V$65,IF(C41="E",Worksheet!$V$66,IF(C41="F",Worksheet!$V$67,FALSE)))))))</f>
        <v>0</v>
      </c>
      <c r="E41" s="505">
        <f>IF(C41="Select",0,IF($D$31="No Projected Increases",D41,IF(C41="A",Worksheet!$W$62,IF(C41="B",Worksheet!$W$63,IF(C41="C",Worksheet!$W$64,IF(C41="D",Worksheet!$W$65,IF(C41="E",Worksheet!$W$66,IF(C41="F",Worksheet!$W$67,FALSE))))))))</f>
        <v>0</v>
      </c>
      <c r="F41" s="505">
        <f>IF(C41="Select",0,IF($D$31="No Projected Increases",D41,IF(C41="A",Worksheet!$X$62,IF(C41="B",Worksheet!$X$63,IF(C41="C",Worksheet!$X$64,IF(C41="D",Worksheet!$X$64,IF(C41="E",Worksheet!$X$66,IF(C41="F",Worksheet!$X$67,FALSE))))))))</f>
        <v>0</v>
      </c>
      <c r="G41" s="505">
        <f>IF(C41="Select",0,IF($D$31="No Projected Increases",D41,IF(C41="A",Worksheet!$Y$62,IF(C41="B",Worksheet!$Y$63,IF(C41="C",Worksheet!$Y$64,IF(C41="D",Worksheet!$Y$65,IF(C41="E",Worksheet!$Y$66,IF(C41="F",Worksheet!$Y$67,FALSE))))))))</f>
        <v>0</v>
      </c>
      <c r="H41" s="505">
        <f>IF(C41="Select",0,IF($D$31="No Projected Increases",D41,IF(C41="A",Worksheet!$Z$62,IF(C41="B",Worksheet!$Z$63,IF(C41="C",Worksheet!$Z$64,IF(C41="D",Worksheet!$Z$65,IF(C41="E",Worksheet!$Z$66,IF(C41="F",Worksheet!$Z$67,FALSE))))))))</f>
        <v>0</v>
      </c>
      <c r="I41" s="336">
        <f>IF(C41="Select",0,IF($D$31="No Projected Increases",D41,IF(C41="A",Worksheet!$AA$62,IF(C41="B",Worksheet!$AA$63,IF(C41="C",Worksheet!$AA$64,IF(C41="D",Worksheet!$AA$65,IF(C41="E",Worksheet!$AA$66,IF(C41="F",Worksheet!$AA$67,FALSE))))))))</f>
        <v>0</v>
      </c>
      <c r="J41" s="176"/>
      <c r="K41" s="464">
        <f>ROUND(K17*(((D41*Worksheet!$B$6)+(E41*Worksheet!$B$7))/Worksheet!$B$5),0)</f>
        <v>0</v>
      </c>
      <c r="L41" s="464">
        <f>IF(Budget!$L$6=0,"",(ROUND(L17*(((E41*Worksheet!$C$6)+(F41*Worksheet!$C$7))/Worksheet!$C$5),0)))</f>
        <v>0</v>
      </c>
      <c r="M41" s="464">
        <f>IF(Budget!$M$6=0,"",(ROUND(M17*(((F41*Worksheet!$D$6)+(G41*Worksheet!$D$7))/Worksheet!$D$5),0)))</f>
        <v>0</v>
      </c>
      <c r="N41" s="464">
        <f>IF(Budget!$N$6=0,"",(ROUND(N17*(((G41*Worksheet!$E$6)+(H41*Worksheet!$E$7))/Worksheet!$E$5),0)))</f>
        <v>0</v>
      </c>
      <c r="O41" s="464">
        <f>IF(Budget!$O$6=0,"",(ROUND(O17*(((H41*Worksheet!$F$6)+(I41*Worksheet!$F$7))/Worksheet!$F$5),0)))</f>
        <v>0</v>
      </c>
      <c r="P41" s="475">
        <f t="shared" si="2"/>
        <v>0</v>
      </c>
      <c r="Q41" s="218"/>
    </row>
    <row r="42" spans="1:23" s="216" customFormat="1" ht="12.75" customHeight="1" x14ac:dyDescent="0.2">
      <c r="A42" s="308">
        <f t="shared" si="1"/>
        <v>10</v>
      </c>
      <c r="B42" s="245" t="str">
        <f t="shared" si="1"/>
        <v xml:space="preserve"> </v>
      </c>
      <c r="C42" s="443" t="s">
        <v>216</v>
      </c>
      <c r="D42" s="505">
        <f>IF(C42="Select",0,IF(C42="A",Worksheet!$V$62,IF(C42="B",Worksheet!$V$63,IF(C42="C",Worksheet!$V$64,IF(C42="D",Worksheet!$V$65,IF(C42="E",Worksheet!$V$66,IF(C42="F",Worksheet!$V$67,FALSE)))))))</f>
        <v>0</v>
      </c>
      <c r="E42" s="505">
        <f>IF(C42="Select",0,IF($D$31="No Projected Increases",D42,IF(C42="A",Worksheet!$W$62,IF(C42="B",Worksheet!$W$63,IF(C42="C",Worksheet!$W$64,IF(C42="D",Worksheet!$W$65,IF(C42="E",Worksheet!$W$66,IF(C42="F",Worksheet!$W$67,FALSE))))))))</f>
        <v>0</v>
      </c>
      <c r="F42" s="505">
        <f>IF(C42="Select",0,IF($D$31="No Projected Increases",D42,IF(C42="A",Worksheet!$X$62,IF(C42="B",Worksheet!$X$63,IF(C42="C",Worksheet!$X$64,IF(C42="D",Worksheet!$X$64,IF(C42="E",Worksheet!$X$66,IF(C42="F",Worksheet!$X$67,FALSE))))))))</f>
        <v>0</v>
      </c>
      <c r="G42" s="505">
        <f>IF(C42="Select",0,IF($D$31="No Projected Increases",D42,IF(C42="A",Worksheet!$Y$62,IF(C42="B",Worksheet!$Y$63,IF(C42="C",Worksheet!$Y$64,IF(C42="D",Worksheet!$Y$65,IF(C42="E",Worksheet!$Y$66,IF(C42="F",Worksheet!$Y$67,FALSE))))))))</f>
        <v>0</v>
      </c>
      <c r="H42" s="505">
        <f>IF(C42="Select",0,IF($D$31="No Projected Increases",D42,IF(C42="A",Worksheet!$Z$62,IF(C42="B",Worksheet!$Z$63,IF(C42="C",Worksheet!$Z$64,IF(C42="D",Worksheet!$Z$65,IF(C42="E",Worksheet!$Z$66,IF(C42="F",Worksheet!$Z$67,FALSE))))))))</f>
        <v>0</v>
      </c>
      <c r="I42" s="336">
        <f>IF(C42="Select",0,IF($D$31="No Projected Increases",D42,IF(C42="A",Worksheet!$AA$62,IF(C42="B",Worksheet!$AA$63,IF(C42="C",Worksheet!$AA$64,IF(C42="D",Worksheet!$AA$65,IF(C42="E",Worksheet!$AA$66,IF(C42="F",Worksheet!$AA$67,FALSE))))))))</f>
        <v>0</v>
      </c>
      <c r="J42" s="176"/>
      <c r="K42" s="464">
        <f>ROUND(K18*(((D42*Worksheet!$B$6)+(E42*Worksheet!$B$7))/Worksheet!$B$5),0)</f>
        <v>0</v>
      </c>
      <c r="L42" s="464">
        <f>IF(Budget!$L$6=0,"",(ROUND(L18*(((E42*Worksheet!$C$6)+(F42*Worksheet!$C$7))/Worksheet!$C$5),0)))</f>
        <v>0</v>
      </c>
      <c r="M42" s="464">
        <f>IF(Budget!$M$6=0,"",(ROUND(M18*(((F42*Worksheet!$D$6)+(G42*Worksheet!$D$7))/Worksheet!$D$5),0)))</f>
        <v>0</v>
      </c>
      <c r="N42" s="464">
        <f>IF(Budget!$N$6=0,"",(ROUND(N18*(((G42*Worksheet!$E$6)+(H42*Worksheet!$E$7))/Worksheet!$E$5),0)))</f>
        <v>0</v>
      </c>
      <c r="O42" s="464">
        <f>IF(Budget!$O$6=0,"",(ROUND(O18*(((H42*Worksheet!$F$6)+(I42*Worksheet!$F$7))/Worksheet!$F$5),0)))</f>
        <v>0</v>
      </c>
      <c r="P42" s="475">
        <f t="shared" si="2"/>
        <v>0</v>
      </c>
      <c r="Q42" s="218"/>
    </row>
    <row r="43" spans="1:23" s="216" customFormat="1" ht="12.75" hidden="1" customHeight="1" x14ac:dyDescent="0.2">
      <c r="A43" s="308">
        <f t="shared" si="1"/>
        <v>11</v>
      </c>
      <c r="B43" s="245" t="str">
        <f t="shared" si="1"/>
        <v xml:space="preserve"> </v>
      </c>
      <c r="C43" s="443" t="s">
        <v>216</v>
      </c>
      <c r="D43" s="335">
        <f>IF(C43="Select",0,IF(C43="A",Worksheet!$V$62,IF(C43="B",Worksheet!$V$63,IF(C43="C",Worksheet!$V$64,IF(C43="D",Worksheet!$V$65,IF(C43="E",Worksheet!$V$66,IF(C43="F",Worksheet!$V$67,FALSE)))))))</f>
        <v>0</v>
      </c>
      <c r="E43" s="335">
        <f>IF(C43="Select",0,IF($D$31="No Projected Increases",D43,IF(C43="A",Worksheet!$W$62,IF(C43="B",Worksheet!$W$63,IF(C43="C",Worksheet!$W$64,IF(C43="D",Worksheet!$W$65,IF(C43="E",Worksheet!$W$66,IF(C43="F",Worksheet!$W$67,FALSE))))))))</f>
        <v>0</v>
      </c>
      <c r="F43" s="335">
        <f>IF(C43="Select",0,IF($D$31="No Projected Increases",D43,IF(C43="A",Worksheet!$X$62,IF(C43="B",Worksheet!$X$63,IF(C43="C",Worksheet!$X$64,IF(C43="D",Worksheet!$X$64,IF(C43="E",Worksheet!$X$66,IF(C43="F",Worksheet!$X$67,FALSE))))))))</f>
        <v>0</v>
      </c>
      <c r="G43" s="335">
        <f>IF(C43="Select",0,IF($D$31="No Projected Increases",D43,IF(C43="A",Worksheet!$Y$62,IF(C43="B",Worksheet!$Y$63,IF(C43="C",Worksheet!$Y$64,IF(C43="D",Worksheet!$Y$65,IF(C43="E",Worksheet!$Y$66,IF(C43="F",Worksheet!$Y$67,FALSE))))))))</f>
        <v>0</v>
      </c>
      <c r="H43" s="335">
        <f>IF(C43="Select",0,IF($D$31="No Projected Increases",D43,IF(C43="A",Worksheet!$Z$62,IF(C43="B",Worksheet!$Z$63,IF(C43="C",Worksheet!$Z$64,IF(C43="D",Worksheet!$Z$65,IF(C43="E",Worksheet!$Z$66,IF(C43="F",Worksheet!$Z$67,FALSE))))))))</f>
        <v>0</v>
      </c>
      <c r="I43" s="336">
        <f>IF(C43="Select",0,IF($D$31="No Projected Increases",D43,IF(C43="A",Worksheet!$AA$62,IF(C43="B",Worksheet!$AA$63,IF(C43="C",Worksheet!$AA$64,IF(C43="D",Worksheet!$AA$65,IF(C43="E",Worksheet!$AA$66,IF(C43="F",Worksheet!$AA$67,FALSE))))))))</f>
        <v>0</v>
      </c>
      <c r="J43" s="176"/>
      <c r="K43" s="464">
        <f>ROUND(K19*(((D43*Worksheet!$B$6)+(E43*Worksheet!$B$7))/Worksheet!$B$5),0)</f>
        <v>0</v>
      </c>
      <c r="L43" s="464">
        <f>IF(Budget!$L$6=0,"",(ROUND(L19*(((E43*Worksheet!$C$6)+(F43*Worksheet!$C$7))/Worksheet!$C$5),0)))</f>
        <v>0</v>
      </c>
      <c r="M43" s="464">
        <f>IF(Budget!$M$6=0,"",(ROUND(M19*(((F43*Worksheet!$D$6)+(G43*Worksheet!$D$7))/Worksheet!$D$5),0)))</f>
        <v>0</v>
      </c>
      <c r="N43" s="464">
        <f>IF(Budget!$N$6=0,"",(ROUND(N19*(((G43*Worksheet!$E$6)+(H43*Worksheet!$E$7))/Worksheet!$E$5),0)))</f>
        <v>0</v>
      </c>
      <c r="O43" s="464">
        <f>IF(Budget!$O$6=0,"",(ROUND(O19*(((H43*Worksheet!$F$6)+(I43*Worksheet!$F$7))/Worksheet!$F$5),0)))</f>
        <v>0</v>
      </c>
      <c r="P43" s="475">
        <f t="shared" si="2"/>
        <v>0</v>
      </c>
      <c r="Q43" s="218"/>
    </row>
    <row r="44" spans="1:23" s="216" customFormat="1" ht="12.75" hidden="1" customHeight="1" x14ac:dyDescent="0.2">
      <c r="A44" s="308">
        <f t="shared" si="1"/>
        <v>12</v>
      </c>
      <c r="B44" s="245" t="str">
        <f t="shared" si="1"/>
        <v xml:space="preserve"> </v>
      </c>
      <c r="C44" s="443" t="s">
        <v>216</v>
      </c>
      <c r="D44" s="335">
        <f>IF(C44="Select",0,IF(C44="A",Worksheet!$V$62,IF(C44="B",Worksheet!$V$63,IF(C44="C",Worksheet!$V$64,IF(C44="D",Worksheet!$V$65,IF(C44="E",Worksheet!$V$66,IF(C44="F",Worksheet!$V$67,FALSE)))))))</f>
        <v>0</v>
      </c>
      <c r="E44" s="335">
        <f>IF(C44="Select",0,IF($D$31="No Projected Increases",D44,IF(C44="A",Worksheet!$W$62,IF(C44="B",Worksheet!$W$63,IF(C44="C",Worksheet!$W$64,IF(C44="D",Worksheet!$W$65,IF(C44="E",Worksheet!$W$66,IF(C44="F",Worksheet!$W$67,FALSE))))))))</f>
        <v>0</v>
      </c>
      <c r="F44" s="335">
        <f>IF(C44="Select",0,IF($D$31="No Projected Increases",D44,IF(C44="A",Worksheet!$X$62,IF(C44="B",Worksheet!$X$63,IF(C44="C",Worksheet!$X$64,IF(C44="D",Worksheet!$X$64,IF(C44="E",Worksheet!$X$66,IF(C44="F",Worksheet!$X$67,FALSE))))))))</f>
        <v>0</v>
      </c>
      <c r="G44" s="335">
        <f>IF(C44="Select",0,IF($D$31="No Projected Increases",D44,IF(C44="A",Worksheet!$Y$62,IF(C44="B",Worksheet!$Y$63,IF(C44="C",Worksheet!$Y$64,IF(C44="D",Worksheet!$Y$65,IF(C44="E",Worksheet!$Y$66,IF(C44="F",Worksheet!$Y$67,FALSE))))))))</f>
        <v>0</v>
      </c>
      <c r="H44" s="335">
        <f>IF(C44="Select",0,IF($D$31="No Projected Increases",D44,IF(C44="A",Worksheet!$Z$62,IF(C44="B",Worksheet!$Z$63,IF(C44="C",Worksheet!$Z$64,IF(C44="D",Worksheet!$Z$65,IF(C44="E",Worksheet!$Z$66,IF(C44="F",Worksheet!$Z$67,FALSE))))))))</f>
        <v>0</v>
      </c>
      <c r="I44" s="336">
        <f>IF(C44="Select",0,IF($D$31="No Projected Increases",D44,IF(C44="A",Worksheet!$AA$62,IF(C44="B",Worksheet!$AA$63,IF(C44="C",Worksheet!$AA$64,IF(C44="D",Worksheet!$AA$65,IF(C44="E",Worksheet!$AA$66,IF(C44="F",Worksheet!$AA$67,FALSE))))))))</f>
        <v>0</v>
      </c>
      <c r="J44" s="176"/>
      <c r="K44" s="464">
        <f>ROUND(K20*(((D44*Worksheet!$B$6)+(E44*Worksheet!$B$7))/Worksheet!$B$5),0)</f>
        <v>0</v>
      </c>
      <c r="L44" s="464">
        <f>IF(Budget!$L$6=0,"",(ROUND(L20*(((E44*Worksheet!$C$6)+(F44*Worksheet!$C$7))/Worksheet!$C$5),0)))</f>
        <v>0</v>
      </c>
      <c r="M44" s="464">
        <f>IF(Budget!$M$6=0,"",(ROUND(M20*(((F44*Worksheet!$D$6)+(G44*Worksheet!$D$7))/Worksheet!$D$5),0)))</f>
        <v>0</v>
      </c>
      <c r="N44" s="464">
        <f>IF(Budget!$N$6=0,"",(ROUND(N20*(((G44*Worksheet!$E$6)+(H44*Worksheet!$E$7))/Worksheet!$E$5),0)))</f>
        <v>0</v>
      </c>
      <c r="O44" s="464">
        <f>IF(Budget!$O$6=0,"",(ROUND(O20*(((H44*Worksheet!$F$6)+(I44*Worksheet!$F$7))/Worksheet!$F$5),0)))</f>
        <v>0</v>
      </c>
      <c r="P44" s="475">
        <f t="shared" si="2"/>
        <v>0</v>
      </c>
      <c r="Q44" s="218"/>
    </row>
    <row r="45" spans="1:23" s="216" customFormat="1" ht="12.75" hidden="1" customHeight="1" x14ac:dyDescent="0.2">
      <c r="A45" s="308">
        <f t="shared" si="1"/>
        <v>13</v>
      </c>
      <c r="B45" s="245" t="str">
        <f t="shared" si="1"/>
        <v xml:space="preserve"> </v>
      </c>
      <c r="C45" s="443" t="s">
        <v>216</v>
      </c>
      <c r="D45" s="335">
        <f>IF(C45="Select",0,IF(C45="A",Worksheet!$V$62,IF(C45="B",Worksheet!$V$63,IF(C45="C",Worksheet!$V$64,IF(C45="D",Worksheet!$V$65,IF(C45="E",Worksheet!$V$66,IF(C45="F",Worksheet!$V$67,FALSE)))))))</f>
        <v>0</v>
      </c>
      <c r="E45" s="335">
        <f>IF(C45="Select",0,IF($D$31="No Projected Increases",D45,IF(C45="A",Worksheet!$W$62,IF(C45="B",Worksheet!$W$63,IF(C45="C",Worksheet!$W$64,IF(C45="D",Worksheet!$W$65,IF(C45="E",Worksheet!$W$66,IF(C45="F",Worksheet!$W$67,FALSE))))))))</f>
        <v>0</v>
      </c>
      <c r="F45" s="335">
        <f>IF(C45="Select",0,IF($D$31="No Projected Increases",D45,IF(C45="A",Worksheet!$X$62,IF(C45="B",Worksheet!$X$63,IF(C45="C",Worksheet!$X$64,IF(C45="D",Worksheet!$X$64,IF(C45="E",Worksheet!$X$66,IF(C45="F",Worksheet!$X$67,FALSE))))))))</f>
        <v>0</v>
      </c>
      <c r="G45" s="335">
        <f>IF(C45="Select",0,IF($D$31="No Projected Increases",D45,IF(C45="A",Worksheet!$Y$62,IF(C45="B",Worksheet!$Y$63,IF(C45="C",Worksheet!$Y$64,IF(C45="D",Worksheet!$Y$65,IF(C45="E",Worksheet!$Y$66,IF(C45="F",Worksheet!$Y$67,FALSE))))))))</f>
        <v>0</v>
      </c>
      <c r="H45" s="335">
        <f>IF(C45="Select",0,IF($D$31="No Projected Increases",D45,IF(C45="A",Worksheet!$Z$62,IF(C45="B",Worksheet!$Z$63,IF(C45="C",Worksheet!$Z$64,IF(C45="D",Worksheet!$Z$65,IF(C45="E",Worksheet!$Z$66,IF(C45="F",Worksheet!$Z$67,FALSE))))))))</f>
        <v>0</v>
      </c>
      <c r="I45" s="336">
        <f>IF(C45="Select",0,IF($D$31="No Projected Increases",D45,IF(C45="A",Worksheet!$AA$62,IF(C45="B",Worksheet!$AA$63,IF(C45="C",Worksheet!$AA$64,IF(C45="D",Worksheet!$AA$65,IF(C45="E",Worksheet!$AA$66,IF(C45="F",Worksheet!$AA$67,FALSE))))))))</f>
        <v>0</v>
      </c>
      <c r="J45" s="176"/>
      <c r="K45" s="464">
        <f>ROUND(K21*(((D45*Worksheet!$B$6)+(E45*Worksheet!$B$7))/Worksheet!$B$5),0)</f>
        <v>0</v>
      </c>
      <c r="L45" s="464">
        <f>IF(Budget!$L$6=0,"",(ROUND(L21*(((E45*Worksheet!$C$6)+(F45*Worksheet!$C$7))/Worksheet!$C$5),0)))</f>
        <v>0</v>
      </c>
      <c r="M45" s="464">
        <f>IF(Budget!$M$6=0,"",(ROUND(M21*(((F45*Worksheet!$D$6)+(G45*Worksheet!$D$7))/Worksheet!$D$5),0)))</f>
        <v>0</v>
      </c>
      <c r="N45" s="464">
        <f>IF(Budget!$N$6=0,"",(ROUND(N21*(((G45*Worksheet!$E$6)+(H45*Worksheet!$E$7))/Worksheet!$E$5),0)))</f>
        <v>0</v>
      </c>
      <c r="O45" s="464">
        <f>IF(Budget!$O$6=0,"",(ROUND(O21*(((H45*Worksheet!$F$6)+(I45*Worksheet!$F$7))/Worksheet!$F$5),0)))</f>
        <v>0</v>
      </c>
      <c r="P45" s="475">
        <f t="shared" si="2"/>
        <v>0</v>
      </c>
      <c r="Q45" s="218"/>
    </row>
    <row r="46" spans="1:23" s="216" customFormat="1" ht="12.75" hidden="1" customHeight="1" x14ac:dyDescent="0.2">
      <c r="A46" s="308">
        <f t="shared" si="1"/>
        <v>14</v>
      </c>
      <c r="B46" s="245" t="str">
        <f t="shared" si="1"/>
        <v xml:space="preserve"> </v>
      </c>
      <c r="C46" s="443" t="s">
        <v>216</v>
      </c>
      <c r="D46" s="335">
        <f>IF(C46="Select",0,IF(C46="A",Worksheet!$V$62,IF(C46="B",Worksheet!$V$63,IF(C46="C",Worksheet!$V$64,IF(C46="D",Worksheet!$V$65,IF(C46="E",Worksheet!$V$66,IF(C46="F",Worksheet!$V$67,FALSE)))))))</f>
        <v>0</v>
      </c>
      <c r="E46" s="335">
        <f>IF(C46="Select",0,IF($D$31="No Projected Increases",D46,IF(C46="A",Worksheet!$W$62,IF(C46="B",Worksheet!$W$63,IF(C46="C",Worksheet!$W$64,IF(C46="D",Worksheet!$W$65,IF(C46="E",Worksheet!$W$66,IF(C46="F",Worksheet!$W$67,FALSE))))))))</f>
        <v>0</v>
      </c>
      <c r="F46" s="335">
        <f>IF(C46="Select",0,IF($D$31="No Projected Increases",D46,IF(C46="A",Worksheet!$X$62,IF(C46="B",Worksheet!$X$63,IF(C46="C",Worksheet!$X$64,IF(C46="D",Worksheet!$X$64,IF(C46="E",Worksheet!$X$66,IF(C46="F",Worksheet!$X$67,FALSE))))))))</f>
        <v>0</v>
      </c>
      <c r="G46" s="335">
        <f>IF(C46="Select",0,IF($D$31="No Projected Increases",D46,IF(C46="A",Worksheet!$Y$62,IF(C46="B",Worksheet!$Y$63,IF(C46="C",Worksheet!$Y$64,IF(C46="D",Worksheet!$Y$65,IF(C46="E",Worksheet!$Y$66,IF(C46="F",Worksheet!$Y$67,FALSE))))))))</f>
        <v>0</v>
      </c>
      <c r="H46" s="335">
        <f>IF(C46="Select",0,IF($D$31="No Projected Increases",D46,IF(C46="A",Worksheet!$Z$62,IF(C46="B",Worksheet!$Z$63,IF(C46="C",Worksheet!$Z$64,IF(C46="D",Worksheet!$Z$65,IF(C46="E",Worksheet!$Z$66,IF(C46="F",Worksheet!$Z$67,FALSE))))))))</f>
        <v>0</v>
      </c>
      <c r="I46" s="336">
        <f>IF(C46="Select",0,IF($D$31="No Projected Increases",D46,IF(C46="A",Worksheet!$AA$62,IF(C46="B",Worksheet!$AA$63,IF(C46="C",Worksheet!$AA$64,IF(C46="D",Worksheet!$AA$65,IF(C46="E",Worksheet!$AA$66,IF(C46="F",Worksheet!$AA$67,FALSE))))))))</f>
        <v>0</v>
      </c>
      <c r="J46" s="176"/>
      <c r="K46" s="464">
        <f>ROUND(K22*(((D46*Worksheet!$B$6)+(E46*Worksheet!$B$7))/Worksheet!$B$5),0)</f>
        <v>0</v>
      </c>
      <c r="L46" s="464">
        <f>IF(Budget!$L$6=0,"",(ROUND(L22*(((E46*Worksheet!$C$6)+(F46*Worksheet!$C$7))/Worksheet!$C$5),0)))</f>
        <v>0</v>
      </c>
      <c r="M46" s="464">
        <f>IF(Budget!$M$6=0,"",(ROUND(M22*(((F46*Worksheet!$D$6)+(G46*Worksheet!$D$7))/Worksheet!$D$5),0)))</f>
        <v>0</v>
      </c>
      <c r="N46" s="464">
        <f>IF(Budget!$N$6=0,"",(ROUND(N22*(((G46*Worksheet!$E$6)+(H46*Worksheet!$E$7))/Worksheet!$E$5),0)))</f>
        <v>0</v>
      </c>
      <c r="O46" s="464">
        <f>IF(Budget!$O$6=0,"",(ROUND(O22*(((H46*Worksheet!$F$6)+(I46*Worksheet!$F$7))/Worksheet!$F$5),0)))</f>
        <v>0</v>
      </c>
      <c r="P46" s="475">
        <f t="shared" si="2"/>
        <v>0</v>
      </c>
      <c r="Q46" s="218"/>
    </row>
    <row r="47" spans="1:23" s="216" customFormat="1" ht="12.75" hidden="1" customHeight="1" x14ac:dyDescent="0.2">
      <c r="A47" s="308">
        <f t="shared" si="1"/>
        <v>15</v>
      </c>
      <c r="B47" s="245" t="str">
        <f t="shared" si="1"/>
        <v xml:space="preserve"> </v>
      </c>
      <c r="C47" s="443" t="s">
        <v>216</v>
      </c>
      <c r="D47" s="335">
        <f>IF(C47="Select",0,IF(C47="A",Worksheet!$V$62,IF(C47="B",Worksheet!$V$63,IF(C47="C",Worksheet!$V$64,IF(C47="D",Worksheet!$V$65,IF(C47="E",Worksheet!$V$66,IF(C47="F",Worksheet!$V$67,FALSE)))))))</f>
        <v>0</v>
      </c>
      <c r="E47" s="335">
        <f>IF(C47="Select",0,IF($D$31="No Projected Increases",D47,IF(C47="A",Worksheet!$W$62,IF(C47="B",Worksheet!$W$63,IF(C47="C",Worksheet!$W$64,IF(C47="D",Worksheet!$W$65,IF(C47="E",Worksheet!$W$66,IF(C47="F",Worksheet!$W$67,FALSE))))))))</f>
        <v>0</v>
      </c>
      <c r="F47" s="335">
        <f>IF(C47="Select",0,IF($D$31="No Projected Increases",D47,IF(C47="A",Worksheet!$X$62,IF(C47="B",Worksheet!$X$63,IF(C47="C",Worksheet!$X$64,IF(C47="D",Worksheet!$X$64,IF(C47="E",Worksheet!$X$66,IF(C47="F",Worksheet!$X$67,FALSE))))))))</f>
        <v>0</v>
      </c>
      <c r="G47" s="335">
        <f>IF(C47="Select",0,IF($D$31="No Projected Increases",D47,IF(C47="A",Worksheet!$Y$62,IF(C47="B",Worksheet!$Y$63,IF(C47="C",Worksheet!$Y$64,IF(C47="D",Worksheet!$Y$65,IF(C47="E",Worksheet!$Y$66,IF(C47="F",Worksheet!$Y$67,FALSE))))))))</f>
        <v>0</v>
      </c>
      <c r="H47" s="335">
        <f>IF(C47="Select",0,IF($D$31="No Projected Increases",D47,IF(C47="A",Worksheet!$Z$62,IF(C47="B",Worksheet!$Z$63,IF(C47="C",Worksheet!$Z$64,IF(C47="D",Worksheet!$Z$65,IF(C47="E",Worksheet!$Z$66,IF(C47="F",Worksheet!$Z$67,FALSE))))))))</f>
        <v>0</v>
      </c>
      <c r="I47" s="336">
        <f>IF(C47="Select",0,IF($D$31="No Projected Increases",D47,IF(C47="A",Worksheet!$AA$62,IF(C47="B",Worksheet!$AA$63,IF(C47="C",Worksheet!$AA$64,IF(C47="D",Worksheet!$AA$65,IF(C47="E",Worksheet!$AA$66,IF(C47="F",Worksheet!$AA$67,FALSE))))))))</f>
        <v>0</v>
      </c>
      <c r="J47" s="176"/>
      <c r="K47" s="464">
        <f>ROUND(K23*(((D47*Worksheet!$B$6)+(E47*Worksheet!$B$7))/Worksheet!$B$5),0)</f>
        <v>0</v>
      </c>
      <c r="L47" s="464">
        <f>IF(Budget!$L$6=0,"",(ROUND(L23*(((E47*Worksheet!$C$6)+(F47*Worksheet!$C$7))/Worksheet!$C$5),0)))</f>
        <v>0</v>
      </c>
      <c r="M47" s="464">
        <f>IF(Budget!$M$6=0,"",(ROUND(M23*(((F47*Worksheet!$D$6)+(G47*Worksheet!$D$7))/Worksheet!$D$5),0)))</f>
        <v>0</v>
      </c>
      <c r="N47" s="464">
        <f>IF(Budget!$N$6=0,"",(ROUND(N23*(((G47*Worksheet!$E$6)+(H47*Worksheet!$E$7))/Worksheet!$E$5),0)))</f>
        <v>0</v>
      </c>
      <c r="O47" s="464">
        <f>IF(Budget!$O$6=0,"",(ROUND(O23*(((H47*Worksheet!$F$6)+(I47*Worksheet!$F$7))/Worksheet!$F$5),0)))</f>
        <v>0</v>
      </c>
      <c r="P47" s="475">
        <f t="shared" si="2"/>
        <v>0</v>
      </c>
      <c r="Q47" s="218"/>
    </row>
    <row r="48" spans="1:23" s="216" customFormat="1" ht="12.75" hidden="1" customHeight="1" x14ac:dyDescent="0.2">
      <c r="A48" s="308">
        <f t="shared" si="1"/>
        <v>16</v>
      </c>
      <c r="B48" s="245" t="str">
        <f t="shared" si="1"/>
        <v xml:space="preserve"> </v>
      </c>
      <c r="C48" s="443" t="s">
        <v>216</v>
      </c>
      <c r="D48" s="335">
        <f>IF(C48="Select",0,IF(C48="A",Worksheet!$V$62,IF(C48="B",Worksheet!$V$63,IF(C48="C",Worksheet!$V$64,IF(C48="D",Worksheet!$V$65,IF(C48="E",Worksheet!$V$66,IF(C48="F",Worksheet!$V$67,FALSE)))))))</f>
        <v>0</v>
      </c>
      <c r="E48" s="335">
        <f>IF(C48="Select",0,IF($D$31="No Projected Increases",D48,IF(C48="A",Worksheet!$W$62,IF(C48="B",Worksheet!$W$63,IF(C48="C",Worksheet!$W$64,IF(C48="D",Worksheet!$W$65,IF(C48="E",Worksheet!$W$66,IF(C48="F",Worksheet!$W$67,FALSE))))))))</f>
        <v>0</v>
      </c>
      <c r="F48" s="335">
        <f>IF(C48="Select",0,IF($D$31="No Projected Increases",D48,IF(C48="A",Worksheet!$X$62,IF(C48="B",Worksheet!$X$63,IF(C48="C",Worksheet!$X$64,IF(C48="D",Worksheet!$X$64,IF(C48="E",Worksheet!$X$66,IF(C48="F",Worksheet!$X$67,FALSE))))))))</f>
        <v>0</v>
      </c>
      <c r="G48" s="335">
        <f>IF(C48="Select",0,IF($D$31="No Projected Increases",D48,IF(C48="A",Worksheet!$Y$62,IF(C48="B",Worksheet!$Y$63,IF(C48="C",Worksheet!$Y$64,IF(C48="D",Worksheet!$Y$65,IF(C48="E",Worksheet!$Y$66,IF(C48="F",Worksheet!$Y$67,FALSE))))))))</f>
        <v>0</v>
      </c>
      <c r="H48" s="335">
        <f>IF(C48="Select",0,IF($D$31="No Projected Increases",D48,IF(C48="A",Worksheet!$Z$62,IF(C48="B",Worksheet!$Z$63,IF(C48="C",Worksheet!$Z$64,IF(C48="D",Worksheet!$Z$65,IF(C48="E",Worksheet!$Z$66,IF(C48="F",Worksheet!$Z$67,FALSE))))))))</f>
        <v>0</v>
      </c>
      <c r="I48" s="336">
        <f>IF(C48="Select",0,IF($D$31="No Projected Increases",D48,IF(C48="A",Worksheet!$AA$62,IF(C48="B",Worksheet!$AA$63,IF(C48="C",Worksheet!$AA$64,IF(C48="D",Worksheet!$AA$65,IF(C48="E",Worksheet!$AA$66,IF(C48="F",Worksheet!$AA$67,FALSE))))))))</f>
        <v>0</v>
      </c>
      <c r="J48" s="176"/>
      <c r="K48" s="464">
        <f>ROUND(K24*(((D48*Worksheet!$B$6)+(E48*Worksheet!$B$7))/Worksheet!$B$5),0)</f>
        <v>0</v>
      </c>
      <c r="L48" s="464">
        <f>IF(Budget!$L$6=0,"",(ROUND(L24*(((E48*Worksheet!$C$6)+(F48*Worksheet!$C$7))/Worksheet!$C$5),0)))</f>
        <v>0</v>
      </c>
      <c r="M48" s="464">
        <f>IF(Budget!$M$6=0,"",(ROUND(M24*(((F48*Worksheet!$D$6)+(G48*Worksheet!$D$7))/Worksheet!$D$5),0)))</f>
        <v>0</v>
      </c>
      <c r="N48" s="464">
        <f>IF(Budget!$N$6=0,"",(ROUND(N24*(((G48*Worksheet!$E$6)+(H48*Worksheet!$E$7))/Worksheet!$E$5),0)))</f>
        <v>0</v>
      </c>
      <c r="O48" s="464">
        <f>IF(Budget!$O$6=0,"",(ROUND(O24*(((H48*Worksheet!$F$6)+(I48*Worksheet!$F$7))/Worksheet!$F$5),0)))</f>
        <v>0</v>
      </c>
      <c r="P48" s="475">
        <f t="shared" si="2"/>
        <v>0</v>
      </c>
      <c r="Q48" s="218"/>
    </row>
    <row r="49" spans="1:17" s="216" customFormat="1" ht="12.75" hidden="1" customHeight="1" x14ac:dyDescent="0.2">
      <c r="A49" s="308">
        <f t="shared" si="1"/>
        <v>17</v>
      </c>
      <c r="B49" s="245" t="str">
        <f t="shared" si="1"/>
        <v xml:space="preserve"> </v>
      </c>
      <c r="C49" s="443" t="s">
        <v>216</v>
      </c>
      <c r="D49" s="335">
        <f>IF(C49="Select",0,IF(C49="A",Worksheet!$V$62,IF(C49="B",Worksheet!$V$63,IF(C49="C",Worksheet!$V$64,IF(C49="D",Worksheet!$V$65,IF(C49="E",Worksheet!$V$66,IF(C49="F",Worksheet!$V$67,FALSE)))))))</f>
        <v>0</v>
      </c>
      <c r="E49" s="335">
        <f>IF(C49="Select",0,IF($D$31="No Projected Increases",D49,IF(C49="A",Worksheet!$W$62,IF(C49="B",Worksheet!$W$63,IF(C49="C",Worksheet!$W$64,IF(C49="D",Worksheet!$W$65,IF(C49="E",Worksheet!$W$66,IF(C49="F",Worksheet!$W$67,FALSE))))))))</f>
        <v>0</v>
      </c>
      <c r="F49" s="335">
        <f>IF(C49="Select",0,IF($D$31="No Projected Increases",D49,IF(C49="A",Worksheet!$X$62,IF(C49="B",Worksheet!$X$63,IF(C49="C",Worksheet!$X$64,IF(C49="D",Worksheet!$X$64,IF(C49="E",Worksheet!$X$66,IF(C49="F",Worksheet!$X$67,FALSE))))))))</f>
        <v>0</v>
      </c>
      <c r="G49" s="335">
        <f>IF(C49="Select",0,IF($D$31="No Projected Increases",D49,IF(C49="A",Worksheet!$Y$62,IF(C49="B",Worksheet!$Y$63,IF(C49="C",Worksheet!$Y$64,IF(C49="D",Worksheet!$Y$65,IF(C49="E",Worksheet!$Y$66,IF(C49="F",Worksheet!$Y$67,FALSE))))))))</f>
        <v>0</v>
      </c>
      <c r="H49" s="335">
        <f>IF(C49="Select",0,IF($D$31="No Projected Increases",D49,IF(C49="A",Worksheet!$Z$62,IF(C49="B",Worksheet!$Z$63,IF(C49="C",Worksheet!$Z$64,IF(C49="D",Worksheet!$Z$65,IF(C49="E",Worksheet!$Z$66,IF(C49="F",Worksheet!$Z$67,FALSE))))))))</f>
        <v>0</v>
      </c>
      <c r="I49" s="336">
        <f>IF(C49="Select",0,IF($D$31="No Projected Increases",D49,IF(C49="A",Worksheet!$AA$62,IF(C49="B",Worksheet!$AA$63,IF(C49="C",Worksheet!$AA$64,IF(C49="D",Worksheet!$AA$65,IF(C49="E",Worksheet!$AA$66,IF(C49="F",Worksheet!$AA$67,FALSE))))))))</f>
        <v>0</v>
      </c>
      <c r="J49" s="176"/>
      <c r="K49" s="464">
        <f>ROUND(K25*(((D49*Worksheet!$B$6)+(E49*Worksheet!$B$7))/Worksheet!$B$5),0)</f>
        <v>0</v>
      </c>
      <c r="L49" s="464">
        <f>IF(Budget!$L$6=0,"",(ROUND(L25*(((E49*Worksheet!$C$6)+(F49*Worksheet!$C$7))/Worksheet!$C$5),0)))</f>
        <v>0</v>
      </c>
      <c r="M49" s="464">
        <f>IF(Budget!$M$6=0,"",(ROUND(M25*(((F49*Worksheet!$D$6)+(G49*Worksheet!$D$7))/Worksheet!$D$5),0)))</f>
        <v>0</v>
      </c>
      <c r="N49" s="464">
        <f>IF(Budget!$N$6=0,"",(ROUND(N25*(((G49*Worksheet!$E$6)+(H49*Worksheet!$E$7))/Worksheet!$E$5),0)))</f>
        <v>0</v>
      </c>
      <c r="O49" s="464">
        <f>IF(Budget!$O$6=0,"",(ROUND(O25*(((H49*Worksheet!$F$6)+(I49*Worksheet!$F$7))/Worksheet!$F$5),0)))</f>
        <v>0</v>
      </c>
      <c r="P49" s="475">
        <f t="shared" si="2"/>
        <v>0</v>
      </c>
      <c r="Q49" s="218"/>
    </row>
    <row r="50" spans="1:17" s="216" customFormat="1" ht="12.75" hidden="1" customHeight="1" x14ac:dyDescent="0.2">
      <c r="A50" s="308">
        <f t="shared" si="1"/>
        <v>18</v>
      </c>
      <c r="B50" s="245" t="str">
        <f t="shared" si="1"/>
        <v xml:space="preserve"> </v>
      </c>
      <c r="C50" s="443" t="s">
        <v>216</v>
      </c>
      <c r="D50" s="335">
        <f>IF(C50="Select",0,IF(C50="A",Worksheet!$V$62,IF(C50="B",Worksheet!$V$63,IF(C50="C",Worksheet!$V$64,IF(C50="D",Worksheet!$V$65,IF(C50="E",Worksheet!$V$66,IF(C50="F",Worksheet!$V$67,FALSE)))))))</f>
        <v>0</v>
      </c>
      <c r="E50" s="335">
        <f>IF(C50="Select",0,IF($D$31="No Projected Increases",D50,IF(C50="A",Worksheet!$W$62,IF(C50="B",Worksheet!$W$63,IF(C50="C",Worksheet!$W$64,IF(C50="D",Worksheet!$W$65,IF(C50="E",Worksheet!$W$66,IF(C50="F",Worksheet!$W$67,FALSE))))))))</f>
        <v>0</v>
      </c>
      <c r="F50" s="335">
        <f>IF(C50="Select",0,IF($D$31="No Projected Increases",D50,IF(C50="A",Worksheet!$X$62,IF(C50="B",Worksheet!$X$63,IF(C50="C",Worksheet!$X$64,IF(C50="D",Worksheet!$X$64,IF(C50="E",Worksheet!$X$66,IF(C50="F",Worksheet!$X$67,FALSE))))))))</f>
        <v>0</v>
      </c>
      <c r="G50" s="335">
        <f>IF(C50="Select",0,IF($D$31="No Projected Increases",D50,IF(C50="A",Worksheet!$Y$62,IF(C50="B",Worksheet!$Y$63,IF(C50="C",Worksheet!$Y$64,IF(C50="D",Worksheet!$Y$65,IF(C50="E",Worksheet!$Y$66,IF(C50="F",Worksheet!$Y$67,FALSE))))))))</f>
        <v>0</v>
      </c>
      <c r="H50" s="335">
        <f>IF(C50="Select",0,IF($D$31="No Projected Increases",D50,IF(C50="A",Worksheet!$Z$62,IF(C50="B",Worksheet!$Z$63,IF(C50="C",Worksheet!$Z$64,IF(C50="D",Worksheet!$Z$65,IF(C50="E",Worksheet!$Z$66,IF(C50="F",Worksheet!$Z$67,FALSE))))))))</f>
        <v>0</v>
      </c>
      <c r="I50" s="336">
        <f>IF(C50="Select",0,IF($D$31="No Projected Increases",D50,IF(C50="A",Worksheet!$AA$62,IF(C50="B",Worksheet!$AA$63,IF(C50="C",Worksheet!$AA$64,IF(C50="D",Worksheet!$AA$65,IF(C50="E",Worksheet!$AA$66,IF(C50="F",Worksheet!$AA$67,FALSE))))))))</f>
        <v>0</v>
      </c>
      <c r="J50" s="176"/>
      <c r="K50" s="464">
        <f>ROUND(K26*(((D50*Worksheet!$B$6)+(E50*Worksheet!$B$7))/Worksheet!$B$5),0)</f>
        <v>0</v>
      </c>
      <c r="L50" s="464">
        <f>IF(Budget!$L$6=0,"",(ROUND(L26*(((E50*Worksheet!$C$6)+(F50*Worksheet!$C$7))/Worksheet!$C$5),0)))</f>
        <v>0</v>
      </c>
      <c r="M50" s="464">
        <f>IF(Budget!$M$6=0,"",(ROUND(M26*(((F50*Worksheet!$D$6)+(G50*Worksheet!$D$7))/Worksheet!$D$5),0)))</f>
        <v>0</v>
      </c>
      <c r="N50" s="464">
        <f>IF(Budget!$N$6=0,"",(ROUND(N26*(((G50*Worksheet!$E$6)+(H50*Worksheet!$E$7))/Worksheet!$E$5),0)))</f>
        <v>0</v>
      </c>
      <c r="O50" s="464">
        <f>IF(Budget!$O$6=0,"",(ROUND(O26*(((H50*Worksheet!$F$6)+(I50*Worksheet!$F$7))/Worksheet!$F$5),0)))</f>
        <v>0</v>
      </c>
      <c r="P50" s="475">
        <f t="shared" si="2"/>
        <v>0</v>
      </c>
      <c r="Q50" s="218"/>
    </row>
    <row r="51" spans="1:17" s="216" customFormat="1" ht="12.75" hidden="1" customHeight="1" x14ac:dyDescent="0.2">
      <c r="A51" s="308">
        <f t="shared" si="1"/>
        <v>19</v>
      </c>
      <c r="B51" s="245" t="str">
        <f t="shared" si="1"/>
        <v xml:space="preserve"> </v>
      </c>
      <c r="C51" s="443" t="s">
        <v>216</v>
      </c>
      <c r="D51" s="335">
        <f>IF(C51="Select",0,IF(C51="A",Worksheet!$V$62,IF(C51="B",Worksheet!$V$63,IF(C51="C",Worksheet!$V$64,IF(C51="D",Worksheet!$V$65,IF(C51="E",Worksheet!$V$66,IF(C51="F",Worksheet!$V$67,FALSE)))))))</f>
        <v>0</v>
      </c>
      <c r="E51" s="335">
        <f>IF(C51="Select",0,IF($D$31="No Projected Increases",D51,IF(C51="A",Worksheet!$W$62,IF(C51="B",Worksheet!$W$63,IF(C51="C",Worksheet!$W$64,IF(C51="D",Worksheet!$W$65,IF(C51="E",Worksheet!$W$66,IF(C51="F",Worksheet!$W$67,FALSE))))))))</f>
        <v>0</v>
      </c>
      <c r="F51" s="335">
        <f>IF(C51="Select",0,IF($D$31="No Projected Increases",D51,IF(C51="A",Worksheet!$X$62,IF(C51="B",Worksheet!$X$63,IF(C51="C",Worksheet!$X$64,IF(C51="D",Worksheet!$X$64,IF(C51="E",Worksheet!$X$66,IF(C51="F",Worksheet!$X$67,FALSE))))))))</f>
        <v>0</v>
      </c>
      <c r="G51" s="335">
        <f>IF(C51="Select",0,IF($D$31="No Projected Increases",D51,IF(C51="A",Worksheet!$Y$62,IF(C51="B",Worksheet!$Y$63,IF(C51="C",Worksheet!$Y$64,IF(C51="D",Worksheet!$Y$65,IF(C51="E",Worksheet!$Y$66,IF(C51="F",Worksheet!$Y$67,FALSE))))))))</f>
        <v>0</v>
      </c>
      <c r="H51" s="335">
        <f>IF(C51="Select",0,IF($D$31="No Projected Increases",D51,IF(C51="A",Worksheet!$Z$62,IF(C51="B",Worksheet!$Z$63,IF(C51="C",Worksheet!$Z$64,IF(C51="D",Worksheet!$Z$65,IF(C51="E",Worksheet!$Z$66,IF(C51="F",Worksheet!$Z$67,FALSE))))))))</f>
        <v>0</v>
      </c>
      <c r="I51" s="336">
        <f>IF(C51="Select",0,IF($D$31="No Projected Increases",D51,IF(C51="A",Worksheet!$AA$62,IF(C51="B",Worksheet!$AA$63,IF(C51="C",Worksheet!$AA$64,IF(C51="D",Worksheet!$AA$65,IF(C51="E",Worksheet!$AA$66,IF(C51="F",Worksheet!$AA$67,FALSE))))))))</f>
        <v>0</v>
      </c>
      <c r="J51" s="176"/>
      <c r="K51" s="464">
        <f>ROUND(K27*(((D51*Worksheet!$B$6)+(E51*Worksheet!$B$7))/Worksheet!$B$5),0)</f>
        <v>0</v>
      </c>
      <c r="L51" s="464">
        <f>IF(Budget!$L$6=0,"",(ROUND(L27*(((E51*Worksheet!$C$6)+(F51*Worksheet!$C$7))/Worksheet!$C$5),0)))</f>
        <v>0</v>
      </c>
      <c r="M51" s="464">
        <f>IF(Budget!$M$6=0,"",(ROUND(M27*(((F51*Worksheet!$D$6)+(G51*Worksheet!$D$7))/Worksheet!$D$5),0)))</f>
        <v>0</v>
      </c>
      <c r="N51" s="464">
        <f>IF(Budget!$N$6=0,"",(ROUND(N27*(((G51*Worksheet!$E$6)+(H51*Worksheet!$E$7))/Worksheet!$E$5),0)))</f>
        <v>0</v>
      </c>
      <c r="O51" s="464">
        <f>IF(Budget!$O$6=0,"",(ROUND(O27*(((H51*Worksheet!$F$6)+(I51*Worksheet!$F$7))/Worksheet!$F$5),0)))</f>
        <v>0</v>
      </c>
      <c r="P51" s="475">
        <f t="shared" si="2"/>
        <v>0</v>
      </c>
      <c r="Q51" s="218"/>
    </row>
    <row r="52" spans="1:17" s="216" customFormat="1" ht="12.75" hidden="1" customHeight="1" x14ac:dyDescent="0.2">
      <c r="A52" s="308">
        <f t="shared" si="1"/>
        <v>20</v>
      </c>
      <c r="B52" s="245" t="str">
        <f t="shared" si="1"/>
        <v xml:space="preserve"> </v>
      </c>
      <c r="C52" s="443" t="s">
        <v>216</v>
      </c>
      <c r="D52" s="335">
        <f>IF(C52="Select",0,IF(C52="A",Worksheet!$V$62,IF(C52="B",Worksheet!$V$63,IF(C52="C",Worksheet!$V$64,IF(C52="D",Worksheet!$V$65,IF(C52="E",Worksheet!$V$66,IF(C52="F",Worksheet!$V$67,FALSE)))))))</f>
        <v>0</v>
      </c>
      <c r="E52" s="335">
        <f>IF(C52="Select",0,IF($D$31="No Projected Increases",D52,IF(C52="A",Worksheet!$W$62,IF(C52="B",Worksheet!$W$63,IF(C52="C",Worksheet!$W$64,IF(C52="D",Worksheet!$W$65,IF(C52="E",Worksheet!$W$66,IF(C52="F",Worksheet!$W$67,FALSE))))))))</f>
        <v>0</v>
      </c>
      <c r="F52" s="335">
        <f>IF(C52="Select",0,IF($D$31="No Projected Increases",D52,IF(C52="A",Worksheet!$X$62,IF(C52="B",Worksheet!$X$63,IF(C52="C",Worksheet!$X$64,IF(C52="D",Worksheet!$X$64,IF(C52="E",Worksheet!$X$66,IF(C52="F",Worksheet!$X$67,FALSE))))))))</f>
        <v>0</v>
      </c>
      <c r="G52" s="335">
        <f>IF(C52="Select",0,IF($D$31="No Projected Increases",D52,IF(C52="A",Worksheet!$Y$62,IF(C52="B",Worksheet!$Y$63,IF(C52="C",Worksheet!$Y$64,IF(C52="D",Worksheet!$Y$65,IF(C52="E",Worksheet!$Y$66,IF(C52="F",Worksheet!$Y$67,FALSE))))))))</f>
        <v>0</v>
      </c>
      <c r="H52" s="335">
        <f>IF(C52="Select",0,IF($D$31="No Projected Increases",D52,IF(C52="A",Worksheet!$Z$62,IF(C52="B",Worksheet!$Z$63,IF(C52="C",Worksheet!$Z$64,IF(C52="D",Worksheet!$Z$65,IF(C52="E",Worksheet!$Z$66,IF(C52="F",Worksheet!$Z$67,FALSE))))))))</f>
        <v>0</v>
      </c>
      <c r="I52" s="336">
        <f>IF(C52="Select",0,IF($D$31="No Projected Increases",D52,IF(C52="A",Worksheet!$AA$62,IF(C52="B",Worksheet!$AA$63,IF(C52="C",Worksheet!$AA$64,IF(C52="D",Worksheet!$AA$65,IF(C52="E",Worksheet!$AA$66,IF(C52="F",Worksheet!$AA$67,FALSE))))))))</f>
        <v>0</v>
      </c>
      <c r="J52" s="252"/>
      <c r="K52" s="464">
        <f>ROUND(K28*(((D52*Worksheet!$B$6)+(E52*Worksheet!$B$7))/Worksheet!$B$5),0)</f>
        <v>0</v>
      </c>
      <c r="L52" s="464">
        <f>IF(Budget!$L$6=0,"",(ROUND(L28*(((E52*Worksheet!$C$6)+(F52*Worksheet!$C$7))/Worksheet!$C$5),0)))</f>
        <v>0</v>
      </c>
      <c r="M52" s="464">
        <f>IF(Budget!$M$6=0,"",(ROUND(M28*(((F52*Worksheet!$D$6)+(G52*Worksheet!$D$7))/Worksheet!$D$5),0)))</f>
        <v>0</v>
      </c>
      <c r="N52" s="464">
        <f>IF(Budget!$N$6=0,"",(ROUND(N28*(((G52*Worksheet!$E$6)+(H52*Worksheet!$E$7))/Worksheet!$E$5),0)))</f>
        <v>0</v>
      </c>
      <c r="O52" s="464">
        <f>IF(Budget!$O$6=0,"",(ROUND(O28*(((H52*Worksheet!$F$6)+(I52*Worksheet!$F$7))/Worksheet!$F$5),0)))</f>
        <v>0</v>
      </c>
      <c r="P52" s="475">
        <f t="shared" si="2"/>
        <v>0</v>
      </c>
      <c r="Q52" s="218"/>
    </row>
    <row r="53" spans="1:17" s="216" customFormat="1" ht="12.75" customHeight="1" x14ac:dyDescent="0.25">
      <c r="A53" s="823" t="s">
        <v>51</v>
      </c>
      <c r="B53" s="728"/>
      <c r="C53" s="237"/>
      <c r="D53" s="238"/>
      <c r="E53" s="238"/>
      <c r="F53" s="238"/>
      <c r="G53" s="238"/>
      <c r="H53" s="238"/>
      <c r="I53" s="238"/>
      <c r="J53" s="239"/>
      <c r="K53" s="479">
        <f>SUM(K33:K52)</f>
        <v>0</v>
      </c>
      <c r="L53" s="480">
        <f>SUM(L33:L52)</f>
        <v>0</v>
      </c>
      <c r="M53" s="480">
        <f>SUM(M33:M52)</f>
        <v>0</v>
      </c>
      <c r="N53" s="480">
        <f>SUM(N33:N52)</f>
        <v>0</v>
      </c>
      <c r="O53" s="480">
        <f>SUM(O33:O52)</f>
        <v>0</v>
      </c>
      <c r="P53" s="476">
        <f t="shared" si="2"/>
        <v>0</v>
      </c>
      <c r="Q53" s="218"/>
    </row>
    <row r="54" spans="1:17" s="216" customFormat="1" ht="12.75" customHeight="1" x14ac:dyDescent="0.25">
      <c r="A54" s="822" t="s">
        <v>52</v>
      </c>
      <c r="B54" s="655"/>
      <c r="C54" s="254"/>
      <c r="D54" s="255"/>
      <c r="E54" s="255"/>
      <c r="F54" s="255"/>
      <c r="G54" s="255"/>
      <c r="H54" s="255"/>
      <c r="I54" s="255"/>
      <c r="J54" s="256"/>
      <c r="K54" s="481">
        <f t="shared" ref="K54:P54" si="3">K53+K29</f>
        <v>0</v>
      </c>
      <c r="L54" s="482">
        <f t="shared" si="3"/>
        <v>0</v>
      </c>
      <c r="M54" s="482">
        <f t="shared" si="3"/>
        <v>0</v>
      </c>
      <c r="N54" s="482">
        <f t="shared" si="3"/>
        <v>0</v>
      </c>
      <c r="O54" s="482">
        <f t="shared" si="3"/>
        <v>0</v>
      </c>
      <c r="P54" s="477">
        <f t="shared" si="3"/>
        <v>0</v>
      </c>
      <c r="Q54" s="218"/>
    </row>
    <row r="55" spans="1:17" s="216" customFormat="1" ht="12.75" customHeight="1" x14ac:dyDescent="0.2">
      <c r="A55" s="309"/>
      <c r="B55" s="258"/>
      <c r="C55" s="259"/>
      <c r="D55" s="260"/>
      <c r="E55" s="260"/>
      <c r="F55" s="260"/>
      <c r="G55" s="260"/>
      <c r="H55" s="260"/>
      <c r="I55" s="260"/>
      <c r="J55" s="260"/>
      <c r="K55" s="261"/>
      <c r="L55" s="261"/>
      <c r="M55" s="261"/>
      <c r="N55" s="261"/>
      <c r="O55" s="261"/>
      <c r="P55" s="310"/>
      <c r="Q55" s="218"/>
    </row>
    <row r="56" spans="1:17" s="216" customFormat="1" ht="12.75" customHeight="1" x14ac:dyDescent="0.25">
      <c r="A56" s="826" t="s">
        <v>53</v>
      </c>
      <c r="B56" s="648"/>
      <c r="C56" s="648"/>
      <c r="D56" s="648"/>
      <c r="E56" s="648"/>
      <c r="F56" s="648"/>
      <c r="G56" s="648"/>
      <c r="H56" s="648"/>
      <c r="I56" s="648"/>
      <c r="J56" s="648"/>
      <c r="K56" s="648"/>
      <c r="L56" s="648"/>
      <c r="M56" s="648"/>
      <c r="N56" s="648"/>
      <c r="O56" s="648"/>
      <c r="P56" s="833"/>
      <c r="Q56" s="218"/>
    </row>
    <row r="57" spans="1:17" s="216" customFormat="1" ht="12.75" customHeight="1" x14ac:dyDescent="0.2">
      <c r="A57" s="302">
        <v>1</v>
      </c>
      <c r="B57" s="650" t="s">
        <v>54</v>
      </c>
      <c r="C57" s="650"/>
      <c r="D57" s="650"/>
      <c r="E57" s="650"/>
      <c r="F57" s="650"/>
      <c r="G57" s="650"/>
      <c r="H57" s="650"/>
      <c r="I57" s="650"/>
      <c r="J57" s="650"/>
      <c r="K57" s="297">
        <v>0</v>
      </c>
      <c r="L57" s="297">
        <v>0</v>
      </c>
      <c r="M57" s="297">
        <v>0</v>
      </c>
      <c r="N57" s="297">
        <v>0</v>
      </c>
      <c r="O57" s="297">
        <v>0</v>
      </c>
      <c r="P57" s="318">
        <f>SUM(K57:O57)</f>
        <v>0</v>
      </c>
      <c r="Q57" s="218"/>
    </row>
    <row r="58" spans="1:17" s="216" customFormat="1" ht="12.75" customHeight="1" x14ac:dyDescent="0.2">
      <c r="A58" s="302">
        <v>2</v>
      </c>
      <c r="B58" s="650"/>
      <c r="C58" s="650"/>
      <c r="D58" s="650"/>
      <c r="E58" s="650"/>
      <c r="F58" s="650"/>
      <c r="G58" s="650"/>
      <c r="H58" s="650"/>
      <c r="I58" s="650"/>
      <c r="J58" s="650"/>
      <c r="K58" s="297">
        <v>0</v>
      </c>
      <c r="L58" s="297">
        <v>0</v>
      </c>
      <c r="M58" s="297">
        <v>0</v>
      </c>
      <c r="N58" s="297">
        <v>0</v>
      </c>
      <c r="O58" s="297">
        <v>0</v>
      </c>
      <c r="P58" s="318">
        <f>SUM(K58:O58)</f>
        <v>0</v>
      </c>
      <c r="Q58" s="218"/>
    </row>
    <row r="59" spans="1:17" s="216" customFormat="1" ht="12.75" hidden="1" customHeight="1" x14ac:dyDescent="0.2">
      <c r="A59" s="302">
        <v>3</v>
      </c>
      <c r="B59" s="650" t="s">
        <v>54</v>
      </c>
      <c r="C59" s="650"/>
      <c r="D59" s="650"/>
      <c r="E59" s="650"/>
      <c r="F59" s="650"/>
      <c r="G59" s="650"/>
      <c r="H59" s="650"/>
      <c r="I59" s="650"/>
      <c r="J59" s="650"/>
      <c r="K59" s="297">
        <v>0</v>
      </c>
      <c r="L59" s="297">
        <v>0</v>
      </c>
      <c r="M59" s="297">
        <v>0</v>
      </c>
      <c r="N59" s="297">
        <v>0</v>
      </c>
      <c r="O59" s="297">
        <v>0</v>
      </c>
      <c r="P59" s="318">
        <f>SUM(K59:O59)</f>
        <v>0</v>
      </c>
      <c r="Q59" s="218"/>
    </row>
    <row r="60" spans="1:17" s="216" customFormat="1" ht="12.75" hidden="1" customHeight="1" x14ac:dyDescent="0.2">
      <c r="A60" s="302">
        <v>4</v>
      </c>
      <c r="B60" s="650" t="s">
        <v>54</v>
      </c>
      <c r="C60" s="651"/>
      <c r="D60" s="651"/>
      <c r="E60" s="651"/>
      <c r="F60" s="651"/>
      <c r="G60" s="651"/>
      <c r="H60" s="651"/>
      <c r="I60" s="651"/>
      <c r="J60" s="651"/>
      <c r="K60" s="297">
        <v>0</v>
      </c>
      <c r="L60" s="297">
        <v>0</v>
      </c>
      <c r="M60" s="297">
        <v>0</v>
      </c>
      <c r="N60" s="297">
        <v>0</v>
      </c>
      <c r="O60" s="297">
        <v>0</v>
      </c>
      <c r="P60" s="318">
        <f>SUM(K60:O60)</f>
        <v>0</v>
      </c>
      <c r="Q60" s="218"/>
    </row>
    <row r="61" spans="1:17" s="216" customFormat="1" ht="12.75" customHeight="1" x14ac:dyDescent="0.25">
      <c r="A61" s="311"/>
      <c r="B61" s="264" t="s">
        <v>55</v>
      </c>
      <c r="C61" s="254"/>
      <c r="D61" s="255"/>
      <c r="E61" s="255"/>
      <c r="F61" s="255"/>
      <c r="G61" s="255"/>
      <c r="H61" s="255"/>
      <c r="I61" s="255"/>
      <c r="J61" s="256"/>
      <c r="K61" s="277">
        <f>SUM(K57:K60)</f>
        <v>0</v>
      </c>
      <c r="L61" s="278">
        <f>SUM(L57:L60)</f>
        <v>0</v>
      </c>
      <c r="M61" s="278">
        <f>SUM(M57:M60)</f>
        <v>0</v>
      </c>
      <c r="N61" s="278">
        <f>SUM(N57:N60)</f>
        <v>0</v>
      </c>
      <c r="O61" s="278">
        <f>SUM(O57:O60)</f>
        <v>0</v>
      </c>
      <c r="P61" s="315">
        <f>SUM(K61:O61)</f>
        <v>0</v>
      </c>
      <c r="Q61" s="218"/>
    </row>
    <row r="62" spans="1:17" s="216" customFormat="1" ht="12.75" customHeight="1" x14ac:dyDescent="0.2">
      <c r="A62" s="303"/>
      <c r="P62" s="304"/>
      <c r="Q62" s="218"/>
    </row>
    <row r="63" spans="1:17" s="216" customFormat="1" ht="12.75" customHeight="1" x14ac:dyDescent="0.25">
      <c r="A63" s="826" t="s">
        <v>212</v>
      </c>
      <c r="B63" s="648"/>
      <c r="C63" s="648"/>
      <c r="D63" s="648"/>
      <c r="E63" s="648"/>
      <c r="F63" s="648"/>
      <c r="G63" s="648"/>
      <c r="H63" s="648"/>
      <c r="I63" s="648"/>
      <c r="J63" s="266" t="s">
        <v>213</v>
      </c>
      <c r="K63" s="266"/>
      <c r="L63" s="266"/>
      <c r="M63" s="266"/>
      <c r="N63" s="266"/>
      <c r="O63" s="266"/>
      <c r="P63" s="312"/>
      <c r="Q63" s="218"/>
    </row>
    <row r="64" spans="1:17" s="216" customFormat="1" ht="12.75" customHeight="1" x14ac:dyDescent="0.2">
      <c r="A64" s="302">
        <v>1</v>
      </c>
      <c r="B64" s="641" t="s">
        <v>56</v>
      </c>
      <c r="C64" s="642"/>
      <c r="D64" s="642"/>
      <c r="E64" s="642"/>
      <c r="F64" s="642"/>
      <c r="G64" s="642"/>
      <c r="H64" s="642"/>
      <c r="I64" s="643"/>
      <c r="J64" s="295" t="s">
        <v>147</v>
      </c>
      <c r="K64" s="297">
        <v>0</v>
      </c>
      <c r="L64" s="297">
        <v>0</v>
      </c>
      <c r="M64" s="297">
        <v>0</v>
      </c>
      <c r="N64" s="297">
        <v>0</v>
      </c>
      <c r="O64" s="297">
        <v>0</v>
      </c>
      <c r="P64" s="318">
        <f t="shared" ref="P64:P80" si="4">SUM(K64:O64)</f>
        <v>0</v>
      </c>
      <c r="Q64" s="218"/>
    </row>
    <row r="65" spans="1:17" s="216" customFormat="1" ht="12.75" customHeight="1" x14ac:dyDescent="0.2">
      <c r="A65" s="302">
        <v>2</v>
      </c>
      <c r="B65" s="641"/>
      <c r="C65" s="642"/>
      <c r="D65" s="642"/>
      <c r="E65" s="642"/>
      <c r="F65" s="642"/>
      <c r="G65" s="642"/>
      <c r="H65" s="642"/>
      <c r="I65" s="643"/>
      <c r="J65" s="295" t="s">
        <v>147</v>
      </c>
      <c r="K65" s="339">
        <v>0</v>
      </c>
      <c r="L65" s="339">
        <v>0</v>
      </c>
      <c r="M65" s="339">
        <v>0</v>
      </c>
      <c r="N65" s="339">
        <v>0</v>
      </c>
      <c r="O65" s="339">
        <v>0</v>
      </c>
      <c r="P65" s="318">
        <f t="shared" si="4"/>
        <v>0</v>
      </c>
      <c r="Q65" s="218"/>
    </row>
    <row r="66" spans="1:17" s="216" customFormat="1" ht="12.75" customHeight="1" x14ac:dyDescent="0.2">
      <c r="A66" s="302">
        <v>3</v>
      </c>
      <c r="B66" s="641"/>
      <c r="C66" s="642"/>
      <c r="D66" s="642"/>
      <c r="E66" s="642"/>
      <c r="F66" s="642"/>
      <c r="G66" s="642"/>
      <c r="H66" s="642"/>
      <c r="I66" s="643"/>
      <c r="J66" s="295" t="s">
        <v>147</v>
      </c>
      <c r="K66" s="339">
        <v>0</v>
      </c>
      <c r="L66" s="339">
        <v>0</v>
      </c>
      <c r="M66" s="339">
        <v>0</v>
      </c>
      <c r="N66" s="339">
        <v>0</v>
      </c>
      <c r="O66" s="339">
        <v>0</v>
      </c>
      <c r="P66" s="318">
        <f t="shared" si="4"/>
        <v>0</v>
      </c>
      <c r="Q66" s="218"/>
    </row>
    <row r="67" spans="1:17" s="216" customFormat="1" ht="12.75" customHeight="1" x14ac:dyDescent="0.2">
      <c r="A67" s="302">
        <v>4</v>
      </c>
      <c r="B67" s="641"/>
      <c r="C67" s="642"/>
      <c r="D67" s="642"/>
      <c r="E67" s="642"/>
      <c r="F67" s="642"/>
      <c r="G67" s="642"/>
      <c r="H67" s="642"/>
      <c r="I67" s="643"/>
      <c r="J67" s="295" t="s">
        <v>147</v>
      </c>
      <c r="K67" s="339">
        <v>0</v>
      </c>
      <c r="L67" s="339">
        <v>0</v>
      </c>
      <c r="M67" s="339">
        <v>0</v>
      </c>
      <c r="N67" s="339">
        <v>0</v>
      </c>
      <c r="O67" s="339">
        <v>0</v>
      </c>
      <c r="P67" s="318">
        <f t="shared" si="4"/>
        <v>0</v>
      </c>
      <c r="Q67" s="218"/>
    </row>
    <row r="68" spans="1:17" s="216" customFormat="1" ht="12.75" customHeight="1" x14ac:dyDescent="0.2">
      <c r="A68" s="302">
        <v>5</v>
      </c>
      <c r="B68" s="641"/>
      <c r="C68" s="642"/>
      <c r="D68" s="642"/>
      <c r="E68" s="642"/>
      <c r="F68" s="642"/>
      <c r="G68" s="642"/>
      <c r="H68" s="642"/>
      <c r="I68" s="643"/>
      <c r="J68" s="295" t="s">
        <v>147</v>
      </c>
      <c r="K68" s="339">
        <v>0</v>
      </c>
      <c r="L68" s="339">
        <v>0</v>
      </c>
      <c r="M68" s="339">
        <v>0</v>
      </c>
      <c r="N68" s="339">
        <v>0</v>
      </c>
      <c r="O68" s="339">
        <v>0</v>
      </c>
      <c r="P68" s="318">
        <f t="shared" si="4"/>
        <v>0</v>
      </c>
      <c r="Q68" s="218"/>
    </row>
    <row r="69" spans="1:17" s="216" customFormat="1" ht="12.75" hidden="1" customHeight="1" x14ac:dyDescent="0.2">
      <c r="A69" s="302">
        <v>6</v>
      </c>
      <c r="B69" s="641" t="s">
        <v>56</v>
      </c>
      <c r="C69" s="642"/>
      <c r="D69" s="642"/>
      <c r="E69" s="642"/>
      <c r="F69" s="642"/>
      <c r="G69" s="642"/>
      <c r="H69" s="642"/>
      <c r="I69" s="643"/>
      <c r="J69" s="295" t="s">
        <v>147</v>
      </c>
      <c r="K69" s="339">
        <v>0</v>
      </c>
      <c r="L69" s="339">
        <v>0</v>
      </c>
      <c r="M69" s="339">
        <v>0</v>
      </c>
      <c r="N69" s="339">
        <v>0</v>
      </c>
      <c r="O69" s="339">
        <v>0</v>
      </c>
      <c r="P69" s="318">
        <f t="shared" si="4"/>
        <v>0</v>
      </c>
      <c r="Q69" s="218"/>
    </row>
    <row r="70" spans="1:17" s="216" customFormat="1" ht="12.75" hidden="1" customHeight="1" x14ac:dyDescent="0.2">
      <c r="A70" s="302">
        <v>7</v>
      </c>
      <c r="B70" s="641" t="s">
        <v>56</v>
      </c>
      <c r="C70" s="642"/>
      <c r="D70" s="642"/>
      <c r="E70" s="642"/>
      <c r="F70" s="642"/>
      <c r="G70" s="642"/>
      <c r="H70" s="642"/>
      <c r="I70" s="643"/>
      <c r="J70" s="295" t="s">
        <v>147</v>
      </c>
      <c r="K70" s="339">
        <v>0</v>
      </c>
      <c r="L70" s="339">
        <v>0</v>
      </c>
      <c r="M70" s="339">
        <v>0</v>
      </c>
      <c r="N70" s="339">
        <v>0</v>
      </c>
      <c r="O70" s="339">
        <v>0</v>
      </c>
      <c r="P70" s="318">
        <f t="shared" si="4"/>
        <v>0</v>
      </c>
      <c r="Q70" s="218"/>
    </row>
    <row r="71" spans="1:17" s="216" customFormat="1" ht="12.75" hidden="1" customHeight="1" x14ac:dyDescent="0.2">
      <c r="A71" s="302">
        <v>8</v>
      </c>
      <c r="B71" s="641" t="s">
        <v>56</v>
      </c>
      <c r="C71" s="642"/>
      <c r="D71" s="642"/>
      <c r="E71" s="642"/>
      <c r="F71" s="642"/>
      <c r="G71" s="642"/>
      <c r="H71" s="642"/>
      <c r="I71" s="643"/>
      <c r="J71" s="295" t="s">
        <v>147</v>
      </c>
      <c r="K71" s="339">
        <v>0</v>
      </c>
      <c r="L71" s="339">
        <v>0</v>
      </c>
      <c r="M71" s="339">
        <v>0</v>
      </c>
      <c r="N71" s="339">
        <v>0</v>
      </c>
      <c r="O71" s="339">
        <v>0</v>
      </c>
      <c r="P71" s="318">
        <f t="shared" si="4"/>
        <v>0</v>
      </c>
      <c r="Q71" s="218"/>
    </row>
    <row r="72" spans="1:17" s="216" customFormat="1" ht="12.75" hidden="1" customHeight="1" x14ac:dyDescent="0.2">
      <c r="A72" s="302">
        <v>9</v>
      </c>
      <c r="B72" s="641" t="s">
        <v>56</v>
      </c>
      <c r="C72" s="642"/>
      <c r="D72" s="642"/>
      <c r="E72" s="642"/>
      <c r="F72" s="642"/>
      <c r="G72" s="642"/>
      <c r="H72" s="642"/>
      <c r="I72" s="643"/>
      <c r="J72" s="295" t="s">
        <v>147</v>
      </c>
      <c r="K72" s="339">
        <v>0</v>
      </c>
      <c r="L72" s="339">
        <v>0</v>
      </c>
      <c r="M72" s="339">
        <v>0</v>
      </c>
      <c r="N72" s="339">
        <v>0</v>
      </c>
      <c r="O72" s="339">
        <v>0</v>
      </c>
      <c r="P72" s="318">
        <f t="shared" si="4"/>
        <v>0</v>
      </c>
      <c r="Q72" s="218"/>
    </row>
    <row r="73" spans="1:17" s="216" customFormat="1" ht="12.75" hidden="1" customHeight="1" x14ac:dyDescent="0.2">
      <c r="A73" s="302">
        <v>10</v>
      </c>
      <c r="B73" s="641" t="s">
        <v>56</v>
      </c>
      <c r="C73" s="642"/>
      <c r="D73" s="642"/>
      <c r="E73" s="642"/>
      <c r="F73" s="642"/>
      <c r="G73" s="642"/>
      <c r="H73" s="642"/>
      <c r="I73" s="643"/>
      <c r="J73" s="295" t="s">
        <v>147</v>
      </c>
      <c r="K73" s="339">
        <v>0</v>
      </c>
      <c r="L73" s="339">
        <v>0</v>
      </c>
      <c r="M73" s="339">
        <v>0</v>
      </c>
      <c r="N73" s="339">
        <v>0</v>
      </c>
      <c r="O73" s="339">
        <v>0</v>
      </c>
      <c r="P73" s="318">
        <f t="shared" si="4"/>
        <v>0</v>
      </c>
      <c r="Q73" s="218"/>
    </row>
    <row r="74" spans="1:17" s="216" customFormat="1" ht="12.75" hidden="1" customHeight="1" x14ac:dyDescent="0.2">
      <c r="A74" s="302">
        <v>11</v>
      </c>
      <c r="B74" s="641" t="s">
        <v>56</v>
      </c>
      <c r="C74" s="642"/>
      <c r="D74" s="642"/>
      <c r="E74" s="642"/>
      <c r="F74" s="642"/>
      <c r="G74" s="642"/>
      <c r="H74" s="642"/>
      <c r="I74" s="643"/>
      <c r="J74" s="295" t="s">
        <v>147</v>
      </c>
      <c r="K74" s="339">
        <v>0</v>
      </c>
      <c r="L74" s="339">
        <v>0</v>
      </c>
      <c r="M74" s="339">
        <v>0</v>
      </c>
      <c r="N74" s="339">
        <v>0</v>
      </c>
      <c r="O74" s="339">
        <v>0</v>
      </c>
      <c r="P74" s="318">
        <f t="shared" si="4"/>
        <v>0</v>
      </c>
      <c r="Q74" s="218"/>
    </row>
    <row r="75" spans="1:17" s="216" customFormat="1" ht="12.75" hidden="1" customHeight="1" x14ac:dyDescent="0.2">
      <c r="A75" s="302">
        <v>12</v>
      </c>
      <c r="B75" s="641" t="s">
        <v>56</v>
      </c>
      <c r="C75" s="642"/>
      <c r="D75" s="642"/>
      <c r="E75" s="642"/>
      <c r="F75" s="642"/>
      <c r="G75" s="642"/>
      <c r="H75" s="642"/>
      <c r="I75" s="643"/>
      <c r="J75" s="295" t="s">
        <v>147</v>
      </c>
      <c r="K75" s="339">
        <v>0</v>
      </c>
      <c r="L75" s="339">
        <v>0</v>
      </c>
      <c r="M75" s="339">
        <v>0</v>
      </c>
      <c r="N75" s="339">
        <v>0</v>
      </c>
      <c r="O75" s="339">
        <v>0</v>
      </c>
      <c r="P75" s="318">
        <f t="shared" si="4"/>
        <v>0</v>
      </c>
      <c r="Q75" s="218"/>
    </row>
    <row r="76" spans="1:17" s="216" customFormat="1" ht="12.75" hidden="1" customHeight="1" x14ac:dyDescent="0.2">
      <c r="A76" s="302">
        <v>13</v>
      </c>
      <c r="B76" s="641" t="s">
        <v>56</v>
      </c>
      <c r="C76" s="642"/>
      <c r="D76" s="642"/>
      <c r="E76" s="642"/>
      <c r="F76" s="642"/>
      <c r="G76" s="642"/>
      <c r="H76" s="642"/>
      <c r="I76" s="643"/>
      <c r="J76" s="295" t="s">
        <v>147</v>
      </c>
      <c r="K76" s="339">
        <v>0</v>
      </c>
      <c r="L76" s="339">
        <v>0</v>
      </c>
      <c r="M76" s="339">
        <v>0</v>
      </c>
      <c r="N76" s="339">
        <v>0</v>
      </c>
      <c r="O76" s="339">
        <v>0</v>
      </c>
      <c r="P76" s="318">
        <f t="shared" si="4"/>
        <v>0</v>
      </c>
      <c r="Q76" s="218"/>
    </row>
    <row r="77" spans="1:17" s="216" customFormat="1" ht="12.75" hidden="1" customHeight="1" x14ac:dyDescent="0.2">
      <c r="A77" s="302">
        <v>14</v>
      </c>
      <c r="B77" s="641" t="s">
        <v>56</v>
      </c>
      <c r="C77" s="642"/>
      <c r="D77" s="642"/>
      <c r="E77" s="642"/>
      <c r="F77" s="642"/>
      <c r="G77" s="642"/>
      <c r="H77" s="642"/>
      <c r="I77" s="643"/>
      <c r="J77" s="295" t="s">
        <v>147</v>
      </c>
      <c r="K77" s="339">
        <v>0</v>
      </c>
      <c r="L77" s="339">
        <v>0</v>
      </c>
      <c r="M77" s="339">
        <v>0</v>
      </c>
      <c r="N77" s="339">
        <v>0</v>
      </c>
      <c r="O77" s="339">
        <v>0</v>
      </c>
      <c r="P77" s="318">
        <f t="shared" si="4"/>
        <v>0</v>
      </c>
      <c r="Q77" s="218"/>
    </row>
    <row r="78" spans="1:17" s="216" customFormat="1" ht="12.75" hidden="1" customHeight="1" x14ac:dyDescent="0.2">
      <c r="A78" s="302">
        <v>15</v>
      </c>
      <c r="B78" s="641" t="s">
        <v>56</v>
      </c>
      <c r="C78" s="642"/>
      <c r="D78" s="642"/>
      <c r="E78" s="642"/>
      <c r="F78" s="642"/>
      <c r="G78" s="642"/>
      <c r="H78" s="642"/>
      <c r="I78" s="643"/>
      <c r="J78" s="295" t="s">
        <v>147</v>
      </c>
      <c r="K78" s="339">
        <v>0</v>
      </c>
      <c r="L78" s="339">
        <v>0</v>
      </c>
      <c r="M78" s="339">
        <v>0</v>
      </c>
      <c r="N78" s="339">
        <v>0</v>
      </c>
      <c r="O78" s="339">
        <v>0</v>
      </c>
      <c r="P78" s="318">
        <f t="shared" si="4"/>
        <v>0</v>
      </c>
      <c r="Q78" s="218"/>
    </row>
    <row r="79" spans="1:17" s="216" customFormat="1" ht="12.75" customHeight="1" x14ac:dyDescent="0.25">
      <c r="A79" s="831" t="s">
        <v>70</v>
      </c>
      <c r="B79" s="727"/>
      <c r="C79" s="237"/>
      <c r="D79" s="238"/>
      <c r="E79" s="238"/>
      <c r="F79" s="238"/>
      <c r="G79" s="238"/>
      <c r="H79" s="238"/>
      <c r="I79" s="238"/>
      <c r="J79" s="239"/>
      <c r="K79" s="471">
        <f>SUMIF($J$64:$J$78,"No",K64:K78)</f>
        <v>0</v>
      </c>
      <c r="L79" s="471">
        <f>SUMIF($J$64:$J$78,"No",L64:L78)</f>
        <v>0</v>
      </c>
      <c r="M79" s="471">
        <f>SUMIF($J$64:$J$78,"No",M64:M78)</f>
        <v>0</v>
      </c>
      <c r="N79" s="471">
        <f>SUMIF($J$64:$J$78,"No",N64:N78)</f>
        <v>0</v>
      </c>
      <c r="O79" s="471">
        <f>SUMIF($J$64:$J$78,"No",O64:O78)</f>
        <v>0</v>
      </c>
      <c r="P79" s="478">
        <f t="shared" si="4"/>
        <v>0</v>
      </c>
      <c r="Q79" s="218"/>
    </row>
    <row r="80" spans="1:17" s="216" customFormat="1" ht="12.75" customHeight="1" x14ac:dyDescent="0.25">
      <c r="A80" s="823" t="s">
        <v>71</v>
      </c>
      <c r="B80" s="728"/>
      <c r="C80" s="237"/>
      <c r="D80" s="238"/>
      <c r="E80" s="238"/>
      <c r="F80" s="238"/>
      <c r="G80" s="238"/>
      <c r="H80" s="238"/>
      <c r="I80" s="238"/>
      <c r="J80" s="239"/>
      <c r="K80" s="471">
        <f>SUMIF($J$64:$J$78,"Yes",K64:K78)</f>
        <v>0</v>
      </c>
      <c r="L80" s="471">
        <f>SUMIF($J$64:$J$78,"Yes",L64:L78)</f>
        <v>0</v>
      </c>
      <c r="M80" s="471">
        <f>SUMIF($J$64:$J$78,"Yes",M64:M78)</f>
        <v>0</v>
      </c>
      <c r="N80" s="471">
        <f>SUMIF($J$64:$J$78,"Yes",N64:N78)</f>
        <v>0</v>
      </c>
      <c r="O80" s="471">
        <f>SUMIF($J$64:$J$78,"Yes",O64:O78)</f>
        <v>0</v>
      </c>
      <c r="P80" s="478">
        <f t="shared" si="4"/>
        <v>0</v>
      </c>
      <c r="Q80" s="218"/>
    </row>
    <row r="81" spans="1:17" s="216" customFormat="1" ht="12.75" customHeight="1" x14ac:dyDescent="0.25">
      <c r="A81" s="822" t="s">
        <v>72</v>
      </c>
      <c r="B81" s="655"/>
      <c r="C81" s="254"/>
      <c r="D81" s="255"/>
      <c r="E81" s="255"/>
      <c r="F81" s="255"/>
      <c r="G81" s="255"/>
      <c r="H81" s="255"/>
      <c r="I81" s="255"/>
      <c r="J81" s="256"/>
      <c r="K81" s="277">
        <f t="shared" ref="K81:P81" si="5">K80+K79</f>
        <v>0</v>
      </c>
      <c r="L81" s="278">
        <f t="shared" si="5"/>
        <v>0</v>
      </c>
      <c r="M81" s="278">
        <f t="shared" si="5"/>
        <v>0</v>
      </c>
      <c r="N81" s="278">
        <f t="shared" si="5"/>
        <v>0</v>
      </c>
      <c r="O81" s="278">
        <f t="shared" si="5"/>
        <v>0</v>
      </c>
      <c r="P81" s="315">
        <f t="shared" si="5"/>
        <v>0</v>
      </c>
      <c r="Q81" s="218"/>
    </row>
    <row r="82" spans="1:17" s="216" customFormat="1" ht="12.75" customHeight="1" x14ac:dyDescent="0.2">
      <c r="A82" s="303"/>
      <c r="P82" s="304"/>
      <c r="Q82" s="218"/>
    </row>
    <row r="83" spans="1:17" s="216" customFormat="1" ht="12.75" customHeight="1" x14ac:dyDescent="0.25">
      <c r="A83" s="313" t="s">
        <v>78</v>
      </c>
      <c r="B83" s="265"/>
      <c r="C83" s="265"/>
      <c r="D83" s="265"/>
      <c r="E83" s="265"/>
      <c r="F83" s="265"/>
      <c r="G83" s="265"/>
      <c r="H83" s="265"/>
      <c r="I83" s="265"/>
      <c r="J83" s="265"/>
      <c r="K83" s="265"/>
      <c r="L83" s="265"/>
      <c r="M83" s="265"/>
      <c r="N83" s="265"/>
      <c r="O83" s="265"/>
      <c r="P83" s="314"/>
      <c r="Q83" s="218"/>
    </row>
    <row r="84" spans="1:17" s="216" customFormat="1" ht="12.75" customHeight="1" x14ac:dyDescent="0.2">
      <c r="A84" s="302">
        <v>1</v>
      </c>
      <c r="B84" s="641"/>
      <c r="C84" s="642"/>
      <c r="D84" s="642"/>
      <c r="E84" s="642"/>
      <c r="F84" s="642"/>
      <c r="G84" s="642"/>
      <c r="H84" s="642"/>
      <c r="I84" s="642"/>
      <c r="J84" s="643"/>
      <c r="K84" s="297">
        <v>0</v>
      </c>
      <c r="L84" s="297">
        <v>0</v>
      </c>
      <c r="M84" s="297">
        <v>0</v>
      </c>
      <c r="N84" s="297">
        <v>0</v>
      </c>
      <c r="O84" s="297">
        <v>0</v>
      </c>
      <c r="P84" s="318">
        <f t="shared" ref="P84:P99" si="6">SUM(K84:O84)</f>
        <v>0</v>
      </c>
      <c r="Q84" s="218"/>
    </row>
    <row r="85" spans="1:17" s="216" customFormat="1" ht="12.75" customHeight="1" x14ac:dyDescent="0.2">
      <c r="A85" s="302">
        <v>2</v>
      </c>
      <c r="B85" s="641"/>
      <c r="C85" s="642"/>
      <c r="D85" s="642"/>
      <c r="E85" s="642"/>
      <c r="F85" s="642"/>
      <c r="G85" s="642"/>
      <c r="H85" s="642"/>
      <c r="I85" s="642"/>
      <c r="J85" s="643"/>
      <c r="K85" s="297">
        <v>0</v>
      </c>
      <c r="L85" s="297">
        <v>0</v>
      </c>
      <c r="M85" s="297">
        <v>0</v>
      </c>
      <c r="N85" s="297">
        <v>0</v>
      </c>
      <c r="O85" s="297">
        <v>0</v>
      </c>
      <c r="P85" s="318">
        <f t="shared" si="6"/>
        <v>0</v>
      </c>
      <c r="Q85" s="218"/>
    </row>
    <row r="86" spans="1:17" s="216" customFormat="1" ht="12.75" customHeight="1" x14ac:dyDescent="0.2">
      <c r="A86" s="302">
        <v>3</v>
      </c>
      <c r="B86" s="641"/>
      <c r="C86" s="642"/>
      <c r="D86" s="642"/>
      <c r="E86" s="642"/>
      <c r="F86" s="642"/>
      <c r="G86" s="642"/>
      <c r="H86" s="642"/>
      <c r="I86" s="642"/>
      <c r="J86" s="643"/>
      <c r="K86" s="297">
        <v>0</v>
      </c>
      <c r="L86" s="297">
        <v>0</v>
      </c>
      <c r="M86" s="297">
        <v>0</v>
      </c>
      <c r="N86" s="297">
        <v>0</v>
      </c>
      <c r="O86" s="297">
        <v>0</v>
      </c>
      <c r="P86" s="318">
        <f t="shared" si="6"/>
        <v>0</v>
      </c>
      <c r="Q86" s="218"/>
    </row>
    <row r="87" spans="1:17" s="216" customFormat="1" ht="12.75" customHeight="1" x14ac:dyDescent="0.2">
      <c r="A87" s="302">
        <v>4</v>
      </c>
      <c r="B87" s="641"/>
      <c r="C87" s="642"/>
      <c r="D87" s="642"/>
      <c r="E87" s="642"/>
      <c r="F87" s="642"/>
      <c r="G87" s="642"/>
      <c r="H87" s="642"/>
      <c r="I87" s="642"/>
      <c r="J87" s="643"/>
      <c r="K87" s="297">
        <v>0</v>
      </c>
      <c r="L87" s="297">
        <v>0</v>
      </c>
      <c r="M87" s="297">
        <v>0</v>
      </c>
      <c r="N87" s="297">
        <v>0</v>
      </c>
      <c r="O87" s="297">
        <v>0</v>
      </c>
      <c r="P87" s="318">
        <f t="shared" si="6"/>
        <v>0</v>
      </c>
      <c r="Q87" s="218"/>
    </row>
    <row r="88" spans="1:17" s="216" customFormat="1" ht="12.75" customHeight="1" x14ac:dyDescent="0.2">
      <c r="A88" s="302">
        <v>5</v>
      </c>
      <c r="B88" s="641"/>
      <c r="C88" s="642"/>
      <c r="D88" s="642"/>
      <c r="E88" s="642"/>
      <c r="F88" s="642"/>
      <c r="G88" s="642"/>
      <c r="H88" s="642"/>
      <c r="I88" s="642"/>
      <c r="J88" s="643"/>
      <c r="K88" s="297">
        <v>0</v>
      </c>
      <c r="L88" s="297">
        <v>0</v>
      </c>
      <c r="M88" s="297">
        <v>0</v>
      </c>
      <c r="N88" s="297">
        <v>0</v>
      </c>
      <c r="O88" s="297">
        <v>0</v>
      </c>
      <c r="P88" s="318">
        <f t="shared" si="6"/>
        <v>0</v>
      </c>
      <c r="Q88" s="218"/>
    </row>
    <row r="89" spans="1:17" s="216" customFormat="1" ht="12.75" hidden="1" customHeight="1" x14ac:dyDescent="0.2">
      <c r="A89" s="302">
        <v>6</v>
      </c>
      <c r="B89" s="290" t="s">
        <v>54</v>
      </c>
      <c r="C89" s="292"/>
      <c r="D89" s="292"/>
      <c r="E89" s="292"/>
      <c r="F89" s="292"/>
      <c r="G89" s="292"/>
      <c r="H89" s="292"/>
      <c r="I89" s="292"/>
      <c r="J89" s="291"/>
      <c r="K89" s="297">
        <v>0</v>
      </c>
      <c r="L89" s="297">
        <v>0</v>
      </c>
      <c r="M89" s="297">
        <v>0</v>
      </c>
      <c r="N89" s="297">
        <v>0</v>
      </c>
      <c r="O89" s="297">
        <v>0</v>
      </c>
      <c r="P89" s="318">
        <f t="shared" si="6"/>
        <v>0</v>
      </c>
      <c r="Q89" s="218"/>
    </row>
    <row r="90" spans="1:17" s="216" customFormat="1" ht="12.75" hidden="1" customHeight="1" x14ac:dyDescent="0.2">
      <c r="A90" s="302">
        <v>7</v>
      </c>
      <c r="B90" s="290" t="s">
        <v>54</v>
      </c>
      <c r="C90" s="292"/>
      <c r="D90" s="292"/>
      <c r="E90" s="292"/>
      <c r="F90" s="292"/>
      <c r="G90" s="292"/>
      <c r="H90" s="292"/>
      <c r="I90" s="292"/>
      <c r="J90" s="291"/>
      <c r="K90" s="297">
        <v>0</v>
      </c>
      <c r="L90" s="297">
        <v>0</v>
      </c>
      <c r="M90" s="297">
        <v>0</v>
      </c>
      <c r="N90" s="297">
        <v>0</v>
      </c>
      <c r="O90" s="297">
        <v>0</v>
      </c>
      <c r="P90" s="318">
        <f t="shared" si="6"/>
        <v>0</v>
      </c>
      <c r="Q90" s="218"/>
    </row>
    <row r="91" spans="1:17" s="216" customFormat="1" ht="12.75" hidden="1" customHeight="1" x14ac:dyDescent="0.2">
      <c r="A91" s="302">
        <v>8</v>
      </c>
      <c r="B91" s="290" t="s">
        <v>54</v>
      </c>
      <c r="C91" s="292"/>
      <c r="D91" s="292"/>
      <c r="E91" s="292"/>
      <c r="F91" s="292"/>
      <c r="G91" s="292"/>
      <c r="H91" s="292"/>
      <c r="I91" s="292"/>
      <c r="J91" s="291"/>
      <c r="K91" s="297">
        <v>0</v>
      </c>
      <c r="L91" s="297">
        <v>0</v>
      </c>
      <c r="M91" s="297">
        <v>0</v>
      </c>
      <c r="N91" s="297">
        <v>0</v>
      </c>
      <c r="O91" s="297">
        <v>0</v>
      </c>
      <c r="P91" s="318">
        <f t="shared" si="6"/>
        <v>0</v>
      </c>
      <c r="Q91" s="218"/>
    </row>
    <row r="92" spans="1:17" s="216" customFormat="1" ht="12.75" hidden="1" customHeight="1" x14ac:dyDescent="0.2">
      <c r="A92" s="302">
        <v>9</v>
      </c>
      <c r="B92" s="290" t="s">
        <v>54</v>
      </c>
      <c r="C92" s="292"/>
      <c r="D92" s="292"/>
      <c r="E92" s="292"/>
      <c r="F92" s="292"/>
      <c r="G92" s="292"/>
      <c r="H92" s="292"/>
      <c r="I92" s="292"/>
      <c r="J92" s="291"/>
      <c r="K92" s="297">
        <v>0</v>
      </c>
      <c r="L92" s="297">
        <v>0</v>
      </c>
      <c r="M92" s="297">
        <v>0</v>
      </c>
      <c r="N92" s="297">
        <v>0</v>
      </c>
      <c r="O92" s="297">
        <v>0</v>
      </c>
      <c r="P92" s="318">
        <f t="shared" si="6"/>
        <v>0</v>
      </c>
      <c r="Q92" s="218"/>
    </row>
    <row r="93" spans="1:17" s="216" customFormat="1" ht="12.75" hidden="1" customHeight="1" x14ac:dyDescent="0.2">
      <c r="A93" s="302">
        <v>10</v>
      </c>
      <c r="B93" s="290" t="s">
        <v>54</v>
      </c>
      <c r="C93" s="292"/>
      <c r="D93" s="292"/>
      <c r="E93" s="292"/>
      <c r="F93" s="292"/>
      <c r="G93" s="292"/>
      <c r="H93" s="292"/>
      <c r="I93" s="292"/>
      <c r="J93" s="291"/>
      <c r="K93" s="297">
        <v>0</v>
      </c>
      <c r="L93" s="297">
        <v>0</v>
      </c>
      <c r="M93" s="297">
        <v>0</v>
      </c>
      <c r="N93" s="297">
        <v>0</v>
      </c>
      <c r="O93" s="297">
        <v>0</v>
      </c>
      <c r="P93" s="318">
        <f t="shared" si="6"/>
        <v>0</v>
      </c>
      <c r="Q93" s="218"/>
    </row>
    <row r="94" spans="1:17" s="216" customFormat="1" ht="12.75" hidden="1" customHeight="1" x14ac:dyDescent="0.2">
      <c r="A94" s="302">
        <v>11</v>
      </c>
      <c r="B94" s="290" t="s">
        <v>54</v>
      </c>
      <c r="C94" s="292"/>
      <c r="D94" s="292"/>
      <c r="E94" s="292"/>
      <c r="F94" s="292"/>
      <c r="G94" s="292"/>
      <c r="H94" s="292"/>
      <c r="I94" s="292"/>
      <c r="J94" s="291"/>
      <c r="K94" s="297">
        <v>0</v>
      </c>
      <c r="L94" s="297">
        <v>0</v>
      </c>
      <c r="M94" s="297">
        <v>0</v>
      </c>
      <c r="N94" s="297">
        <v>0</v>
      </c>
      <c r="O94" s="297">
        <v>0</v>
      </c>
      <c r="P94" s="318">
        <f t="shared" si="6"/>
        <v>0</v>
      </c>
      <c r="Q94" s="218"/>
    </row>
    <row r="95" spans="1:17" s="216" customFormat="1" ht="12.75" hidden="1" customHeight="1" x14ac:dyDescent="0.2">
      <c r="A95" s="302">
        <v>12</v>
      </c>
      <c r="B95" s="290" t="s">
        <v>54</v>
      </c>
      <c r="C95" s="292"/>
      <c r="D95" s="292"/>
      <c r="E95" s="292"/>
      <c r="F95" s="292"/>
      <c r="G95" s="292"/>
      <c r="H95" s="292"/>
      <c r="I95" s="292"/>
      <c r="J95" s="291"/>
      <c r="K95" s="297">
        <v>0</v>
      </c>
      <c r="L95" s="297">
        <v>0</v>
      </c>
      <c r="M95" s="297">
        <v>0</v>
      </c>
      <c r="N95" s="297">
        <v>0</v>
      </c>
      <c r="O95" s="297">
        <v>0</v>
      </c>
      <c r="P95" s="318">
        <f t="shared" si="6"/>
        <v>0</v>
      </c>
      <c r="Q95" s="218"/>
    </row>
    <row r="96" spans="1:17" s="216" customFormat="1" ht="12.75" hidden="1" customHeight="1" x14ac:dyDescent="0.2">
      <c r="A96" s="302">
        <v>13</v>
      </c>
      <c r="B96" s="290" t="s">
        <v>54</v>
      </c>
      <c r="C96" s="292"/>
      <c r="D96" s="292"/>
      <c r="E96" s="292"/>
      <c r="F96" s="292"/>
      <c r="G96" s="292"/>
      <c r="H96" s="292"/>
      <c r="I96" s="292"/>
      <c r="J96" s="291"/>
      <c r="K96" s="297">
        <v>0</v>
      </c>
      <c r="L96" s="297">
        <v>0</v>
      </c>
      <c r="M96" s="297">
        <v>0</v>
      </c>
      <c r="N96" s="297">
        <v>0</v>
      </c>
      <c r="O96" s="297">
        <v>0</v>
      </c>
      <c r="P96" s="318">
        <f t="shared" si="6"/>
        <v>0</v>
      </c>
      <c r="Q96" s="218"/>
    </row>
    <row r="97" spans="1:17" s="216" customFormat="1" ht="12.75" hidden="1" customHeight="1" x14ac:dyDescent="0.2">
      <c r="A97" s="302">
        <v>14</v>
      </c>
      <c r="B97" s="290" t="s">
        <v>54</v>
      </c>
      <c r="C97" s="292"/>
      <c r="D97" s="292"/>
      <c r="E97" s="292"/>
      <c r="F97" s="292"/>
      <c r="G97" s="292"/>
      <c r="H97" s="292"/>
      <c r="I97" s="292"/>
      <c r="J97" s="291"/>
      <c r="K97" s="297">
        <v>0</v>
      </c>
      <c r="L97" s="297">
        <v>0</v>
      </c>
      <c r="M97" s="297">
        <v>0</v>
      </c>
      <c r="N97" s="297">
        <v>0</v>
      </c>
      <c r="O97" s="297">
        <v>0</v>
      </c>
      <c r="P97" s="318">
        <f t="shared" si="6"/>
        <v>0</v>
      </c>
      <c r="Q97" s="218"/>
    </row>
    <row r="98" spans="1:17" s="216" customFormat="1" ht="12.75" hidden="1" customHeight="1" x14ac:dyDescent="0.2">
      <c r="A98" s="302">
        <v>15</v>
      </c>
      <c r="B98" s="290" t="s">
        <v>54</v>
      </c>
      <c r="C98" s="293"/>
      <c r="D98" s="293"/>
      <c r="E98" s="293"/>
      <c r="F98" s="293"/>
      <c r="G98" s="293"/>
      <c r="H98" s="293"/>
      <c r="I98" s="293"/>
      <c r="J98" s="294"/>
      <c r="K98" s="297">
        <v>0</v>
      </c>
      <c r="L98" s="297">
        <v>0</v>
      </c>
      <c r="M98" s="297">
        <v>0</v>
      </c>
      <c r="N98" s="297">
        <v>0</v>
      </c>
      <c r="O98" s="297">
        <v>0</v>
      </c>
      <c r="P98" s="318">
        <f t="shared" si="6"/>
        <v>0</v>
      </c>
      <c r="Q98" s="218"/>
    </row>
    <row r="99" spans="1:17" s="216" customFormat="1" ht="12.75" customHeight="1" x14ac:dyDescent="0.25">
      <c r="A99" s="822" t="s">
        <v>79</v>
      </c>
      <c r="B99" s="655"/>
      <c r="C99" s="254"/>
      <c r="D99" s="255"/>
      <c r="E99" s="255"/>
      <c r="F99" s="255"/>
      <c r="G99" s="255"/>
      <c r="H99" s="255"/>
      <c r="I99" s="255"/>
      <c r="J99" s="256"/>
      <c r="K99" s="277">
        <f>SUM(K84:K98)</f>
        <v>0</v>
      </c>
      <c r="L99" s="278">
        <f>SUM(L84:L98)</f>
        <v>0</v>
      </c>
      <c r="M99" s="278">
        <f>SUM(M84:M98)</f>
        <v>0</v>
      </c>
      <c r="N99" s="278">
        <f>SUM(N84:N98)</f>
        <v>0</v>
      </c>
      <c r="O99" s="278">
        <f>SUM(O84:O98)</f>
        <v>0</v>
      </c>
      <c r="P99" s="315">
        <f t="shared" si="6"/>
        <v>0</v>
      </c>
      <c r="Q99" s="218"/>
    </row>
    <row r="100" spans="1:17" s="216" customFormat="1" ht="12.75" customHeight="1" x14ac:dyDescent="0.2">
      <c r="A100" s="303"/>
      <c r="P100" s="304"/>
      <c r="Q100" s="218"/>
    </row>
    <row r="101" spans="1:17" s="216" customFormat="1" ht="12.75" customHeight="1" x14ac:dyDescent="0.25">
      <c r="A101" s="313" t="s">
        <v>80</v>
      </c>
      <c r="B101" s="265"/>
      <c r="C101" s="265"/>
      <c r="D101" s="265"/>
      <c r="E101" s="265"/>
      <c r="F101" s="265"/>
      <c r="G101" s="265"/>
      <c r="H101" s="265"/>
      <c r="I101" s="265"/>
      <c r="J101" s="265"/>
      <c r="K101" s="265"/>
      <c r="L101" s="265"/>
      <c r="M101" s="265"/>
      <c r="N101" s="265"/>
      <c r="O101" s="265"/>
      <c r="P101" s="314"/>
      <c r="Q101" s="218"/>
    </row>
    <row r="102" spans="1:17" s="216" customFormat="1" ht="12.75" customHeight="1" x14ac:dyDescent="0.2">
      <c r="A102" s="302">
        <v>1</v>
      </c>
      <c r="B102" s="641" t="s">
        <v>82</v>
      </c>
      <c r="C102" s="642"/>
      <c r="D102" s="642"/>
      <c r="E102" s="642"/>
      <c r="F102" s="642"/>
      <c r="G102" s="642"/>
      <c r="H102" s="642"/>
      <c r="I102" s="642"/>
      <c r="J102" s="643"/>
      <c r="K102" s="297">
        <v>0</v>
      </c>
      <c r="L102" s="297">
        <v>0</v>
      </c>
      <c r="M102" s="297">
        <v>0</v>
      </c>
      <c r="N102" s="297">
        <v>0</v>
      </c>
      <c r="O102" s="297">
        <v>0</v>
      </c>
      <c r="P102" s="318">
        <f t="shared" ref="P102:P116" si="7">SUM(K102:O102)</f>
        <v>0</v>
      </c>
      <c r="Q102" s="218"/>
    </row>
    <row r="103" spans="1:17" s="216" customFormat="1" ht="12.75" customHeight="1" x14ac:dyDescent="0.2">
      <c r="A103" s="302">
        <v>2</v>
      </c>
      <c r="B103" s="290" t="s">
        <v>83</v>
      </c>
      <c r="C103" s="292"/>
      <c r="D103" s="292"/>
      <c r="E103" s="292"/>
      <c r="F103" s="292"/>
      <c r="G103" s="292"/>
      <c r="H103" s="292"/>
      <c r="I103" s="292"/>
      <c r="J103" s="291"/>
      <c r="K103" s="297">
        <v>0</v>
      </c>
      <c r="L103" s="297">
        <v>0</v>
      </c>
      <c r="M103" s="297">
        <v>0</v>
      </c>
      <c r="N103" s="297">
        <v>0</v>
      </c>
      <c r="O103" s="297">
        <v>0</v>
      </c>
      <c r="P103" s="318">
        <f t="shared" si="7"/>
        <v>0</v>
      </c>
      <c r="Q103" s="218"/>
    </row>
    <row r="104" spans="1:17" s="216" customFormat="1" ht="12.75" customHeight="1" x14ac:dyDescent="0.2">
      <c r="A104" s="302">
        <v>3</v>
      </c>
      <c r="B104" s="290" t="s">
        <v>84</v>
      </c>
      <c r="C104" s="292"/>
      <c r="D104" s="292"/>
      <c r="E104" s="292"/>
      <c r="F104" s="292"/>
      <c r="G104" s="292"/>
      <c r="H104" s="292"/>
      <c r="I104" s="292"/>
      <c r="J104" s="291"/>
      <c r="K104" s="297">
        <v>0</v>
      </c>
      <c r="L104" s="297">
        <v>0</v>
      </c>
      <c r="M104" s="297">
        <v>0</v>
      </c>
      <c r="N104" s="297">
        <v>0</v>
      </c>
      <c r="O104" s="297">
        <v>0</v>
      </c>
      <c r="P104" s="318">
        <f t="shared" si="7"/>
        <v>0</v>
      </c>
      <c r="Q104" s="218"/>
    </row>
    <row r="105" spans="1:17" s="216" customFormat="1" ht="12.75" customHeight="1" x14ac:dyDescent="0.2">
      <c r="A105" s="302">
        <v>4</v>
      </c>
      <c r="B105" s="641"/>
      <c r="C105" s="642"/>
      <c r="D105" s="642"/>
      <c r="E105" s="642"/>
      <c r="F105" s="642"/>
      <c r="G105" s="642"/>
      <c r="H105" s="642"/>
      <c r="I105" s="642"/>
      <c r="J105" s="643"/>
      <c r="K105" s="297">
        <v>0</v>
      </c>
      <c r="L105" s="297">
        <v>0</v>
      </c>
      <c r="M105" s="297">
        <v>0</v>
      </c>
      <c r="N105" s="297">
        <v>0</v>
      </c>
      <c r="O105" s="297">
        <v>0</v>
      </c>
      <c r="P105" s="318">
        <f t="shared" si="7"/>
        <v>0</v>
      </c>
      <c r="Q105" s="218"/>
    </row>
    <row r="106" spans="1:17" s="216" customFormat="1" ht="12.75" customHeight="1" x14ac:dyDescent="0.2">
      <c r="A106" s="302">
        <v>5</v>
      </c>
      <c r="B106" s="290"/>
      <c r="C106" s="292"/>
      <c r="D106" s="292"/>
      <c r="E106" s="292"/>
      <c r="F106" s="292"/>
      <c r="G106" s="292"/>
      <c r="H106" s="292"/>
      <c r="I106" s="292"/>
      <c r="J106" s="291"/>
      <c r="K106" s="297">
        <v>0</v>
      </c>
      <c r="L106" s="297">
        <v>0</v>
      </c>
      <c r="M106" s="297">
        <v>0</v>
      </c>
      <c r="N106" s="297">
        <v>0</v>
      </c>
      <c r="O106" s="297">
        <v>0</v>
      </c>
      <c r="P106" s="318">
        <f t="shared" si="7"/>
        <v>0</v>
      </c>
      <c r="Q106" s="218"/>
    </row>
    <row r="107" spans="1:17" s="216" customFormat="1" ht="12.75" hidden="1" customHeight="1" x14ac:dyDescent="0.2">
      <c r="A107" s="302">
        <v>6</v>
      </c>
      <c r="B107" s="290" t="s">
        <v>54</v>
      </c>
      <c r="C107" s="292"/>
      <c r="D107" s="292"/>
      <c r="E107" s="292"/>
      <c r="F107" s="292"/>
      <c r="G107" s="292"/>
      <c r="H107" s="292"/>
      <c r="I107" s="292"/>
      <c r="J107" s="291"/>
      <c r="K107" s="297">
        <v>0</v>
      </c>
      <c r="L107" s="297">
        <v>0</v>
      </c>
      <c r="M107" s="297">
        <v>0</v>
      </c>
      <c r="N107" s="297">
        <v>0</v>
      </c>
      <c r="O107" s="297">
        <v>0</v>
      </c>
      <c r="P107" s="318">
        <f t="shared" si="7"/>
        <v>0</v>
      </c>
      <c r="Q107" s="218"/>
    </row>
    <row r="108" spans="1:17" s="216" customFormat="1" ht="12.75" hidden="1" customHeight="1" x14ac:dyDescent="0.2">
      <c r="A108" s="302">
        <v>7</v>
      </c>
      <c r="B108" s="290" t="s">
        <v>54</v>
      </c>
      <c r="C108" s="292"/>
      <c r="D108" s="292"/>
      <c r="E108" s="292"/>
      <c r="F108" s="292"/>
      <c r="G108" s="292"/>
      <c r="H108" s="292"/>
      <c r="I108" s="292"/>
      <c r="J108" s="291"/>
      <c r="K108" s="297">
        <v>0</v>
      </c>
      <c r="L108" s="297">
        <v>0</v>
      </c>
      <c r="M108" s="297">
        <v>0</v>
      </c>
      <c r="N108" s="297">
        <v>0</v>
      </c>
      <c r="O108" s="297">
        <v>0</v>
      </c>
      <c r="P108" s="318">
        <f t="shared" si="7"/>
        <v>0</v>
      </c>
      <c r="Q108" s="218"/>
    </row>
    <row r="109" spans="1:17" s="216" customFormat="1" ht="12.75" hidden="1" customHeight="1" x14ac:dyDescent="0.2">
      <c r="A109" s="302">
        <v>8</v>
      </c>
      <c r="B109" s="290" t="s">
        <v>54</v>
      </c>
      <c r="C109" s="292"/>
      <c r="D109" s="292"/>
      <c r="E109" s="292"/>
      <c r="F109" s="292"/>
      <c r="G109" s="292"/>
      <c r="H109" s="292"/>
      <c r="I109" s="292"/>
      <c r="J109" s="291"/>
      <c r="K109" s="297">
        <v>0</v>
      </c>
      <c r="L109" s="297">
        <v>0</v>
      </c>
      <c r="M109" s="297">
        <v>0</v>
      </c>
      <c r="N109" s="297">
        <v>0</v>
      </c>
      <c r="O109" s="297">
        <v>0</v>
      </c>
      <c r="P109" s="318">
        <f t="shared" si="7"/>
        <v>0</v>
      </c>
      <c r="Q109" s="218"/>
    </row>
    <row r="110" spans="1:17" s="216" customFormat="1" ht="12.75" hidden="1" customHeight="1" x14ac:dyDescent="0.2">
      <c r="A110" s="302">
        <v>9</v>
      </c>
      <c r="B110" s="290" t="s">
        <v>54</v>
      </c>
      <c r="C110" s="292"/>
      <c r="D110" s="292"/>
      <c r="E110" s="292"/>
      <c r="F110" s="292"/>
      <c r="G110" s="292"/>
      <c r="H110" s="292"/>
      <c r="I110" s="292"/>
      <c r="J110" s="291"/>
      <c r="K110" s="297">
        <v>0</v>
      </c>
      <c r="L110" s="297">
        <v>0</v>
      </c>
      <c r="M110" s="297">
        <v>0</v>
      </c>
      <c r="N110" s="297">
        <v>0</v>
      </c>
      <c r="O110" s="297">
        <v>0</v>
      </c>
      <c r="P110" s="318">
        <f t="shared" si="7"/>
        <v>0</v>
      </c>
      <c r="Q110" s="218"/>
    </row>
    <row r="111" spans="1:17" s="216" customFormat="1" ht="12.75" hidden="1" customHeight="1" x14ac:dyDescent="0.2">
      <c r="A111" s="302">
        <v>10</v>
      </c>
      <c r="B111" s="290" t="s">
        <v>54</v>
      </c>
      <c r="C111" s="292"/>
      <c r="D111" s="292"/>
      <c r="E111" s="292"/>
      <c r="F111" s="292"/>
      <c r="G111" s="292"/>
      <c r="H111" s="292"/>
      <c r="I111" s="292"/>
      <c r="J111" s="291"/>
      <c r="K111" s="297">
        <v>0</v>
      </c>
      <c r="L111" s="297">
        <v>0</v>
      </c>
      <c r="M111" s="297">
        <v>0</v>
      </c>
      <c r="N111" s="297">
        <v>0</v>
      </c>
      <c r="O111" s="297">
        <v>0</v>
      </c>
      <c r="P111" s="318">
        <f t="shared" si="7"/>
        <v>0</v>
      </c>
      <c r="Q111" s="218"/>
    </row>
    <row r="112" spans="1:17" s="216" customFormat="1" ht="12.75" hidden="1" customHeight="1" x14ac:dyDescent="0.2">
      <c r="A112" s="302">
        <v>11</v>
      </c>
      <c r="B112" s="290" t="s">
        <v>54</v>
      </c>
      <c r="C112" s="292"/>
      <c r="D112" s="292"/>
      <c r="E112" s="292"/>
      <c r="F112" s="292"/>
      <c r="G112" s="292"/>
      <c r="H112" s="292"/>
      <c r="I112" s="292"/>
      <c r="J112" s="291"/>
      <c r="K112" s="297">
        <v>0</v>
      </c>
      <c r="L112" s="297">
        <v>0</v>
      </c>
      <c r="M112" s="297">
        <v>0</v>
      </c>
      <c r="N112" s="297">
        <v>0</v>
      </c>
      <c r="O112" s="297">
        <v>0</v>
      </c>
      <c r="P112" s="318">
        <f t="shared" si="7"/>
        <v>0</v>
      </c>
      <c r="Q112" s="218"/>
    </row>
    <row r="113" spans="1:17" s="216" customFormat="1" ht="12.75" hidden="1" customHeight="1" x14ac:dyDescent="0.2">
      <c r="A113" s="302">
        <v>12</v>
      </c>
      <c r="B113" s="290" t="s">
        <v>54</v>
      </c>
      <c r="C113" s="292"/>
      <c r="D113" s="292"/>
      <c r="E113" s="292"/>
      <c r="F113" s="292"/>
      <c r="G113" s="292"/>
      <c r="H113" s="292"/>
      <c r="I113" s="292"/>
      <c r="J113" s="291"/>
      <c r="K113" s="297">
        <v>0</v>
      </c>
      <c r="L113" s="297">
        <v>0</v>
      </c>
      <c r="M113" s="297">
        <v>0</v>
      </c>
      <c r="N113" s="297">
        <v>0</v>
      </c>
      <c r="O113" s="297">
        <v>0</v>
      </c>
      <c r="P113" s="318">
        <f t="shared" si="7"/>
        <v>0</v>
      </c>
      <c r="Q113" s="218"/>
    </row>
    <row r="114" spans="1:17" s="216" customFormat="1" ht="12.75" hidden="1" customHeight="1" x14ac:dyDescent="0.2">
      <c r="A114" s="302">
        <v>13</v>
      </c>
      <c r="B114" s="290" t="s">
        <v>54</v>
      </c>
      <c r="C114" s="292"/>
      <c r="D114" s="292"/>
      <c r="E114" s="292"/>
      <c r="F114" s="292"/>
      <c r="G114" s="292"/>
      <c r="H114" s="292"/>
      <c r="I114" s="292"/>
      <c r="J114" s="291"/>
      <c r="K114" s="297">
        <v>0</v>
      </c>
      <c r="L114" s="297">
        <v>0</v>
      </c>
      <c r="M114" s="297">
        <v>0</v>
      </c>
      <c r="N114" s="297">
        <v>0</v>
      </c>
      <c r="O114" s="297">
        <v>0</v>
      </c>
      <c r="P114" s="318">
        <f t="shared" si="7"/>
        <v>0</v>
      </c>
      <c r="Q114" s="218"/>
    </row>
    <row r="115" spans="1:17" s="216" customFormat="1" ht="12.75" hidden="1" customHeight="1" x14ac:dyDescent="0.2">
      <c r="A115" s="302">
        <v>14</v>
      </c>
      <c r="B115" s="290" t="s">
        <v>54</v>
      </c>
      <c r="C115" s="293"/>
      <c r="D115" s="293"/>
      <c r="E115" s="293"/>
      <c r="F115" s="293"/>
      <c r="G115" s="293"/>
      <c r="H115" s="293"/>
      <c r="I115" s="293"/>
      <c r="J115" s="294"/>
      <c r="K115" s="297">
        <v>0</v>
      </c>
      <c r="L115" s="297">
        <v>0</v>
      </c>
      <c r="M115" s="297">
        <v>0</v>
      </c>
      <c r="N115" s="297">
        <v>0</v>
      </c>
      <c r="O115" s="297">
        <v>0</v>
      </c>
      <c r="P115" s="318">
        <f t="shared" si="7"/>
        <v>0</v>
      </c>
      <c r="Q115" s="218"/>
    </row>
    <row r="116" spans="1:17" s="216" customFormat="1" ht="12.75" customHeight="1" x14ac:dyDescent="0.25">
      <c r="A116" s="822" t="s">
        <v>85</v>
      </c>
      <c r="B116" s="655"/>
      <c r="C116" s="254"/>
      <c r="D116" s="255"/>
      <c r="E116" s="255"/>
      <c r="F116" s="255"/>
      <c r="G116" s="255"/>
      <c r="H116" s="255"/>
      <c r="I116" s="255"/>
      <c r="J116" s="256"/>
      <c r="K116" s="277">
        <f>SUM(K102:K115)</f>
        <v>0</v>
      </c>
      <c r="L116" s="278">
        <f>SUM(L102:L115)</f>
        <v>0</v>
      </c>
      <c r="M116" s="278">
        <f>SUM(M102:M115)</f>
        <v>0</v>
      </c>
      <c r="N116" s="278">
        <f>SUM(N102:N115)</f>
        <v>0</v>
      </c>
      <c r="O116" s="278">
        <f>SUM(O102:O115)</f>
        <v>0</v>
      </c>
      <c r="P116" s="315">
        <f t="shared" si="7"/>
        <v>0</v>
      </c>
      <c r="Q116" s="218"/>
    </row>
    <row r="117" spans="1:17" s="216" customFormat="1" ht="12.75" customHeight="1" x14ac:dyDescent="0.2">
      <c r="A117" s="303"/>
      <c r="P117" s="304"/>
      <c r="Q117" s="218"/>
    </row>
    <row r="118" spans="1:17" s="216" customFormat="1" ht="12.75" customHeight="1" x14ac:dyDescent="0.25">
      <c r="A118" s="313" t="s">
        <v>93</v>
      </c>
      <c r="B118" s="206"/>
      <c r="C118" s="265"/>
      <c r="D118" s="265"/>
      <c r="E118" s="265"/>
      <c r="F118" s="265"/>
      <c r="G118" s="265"/>
      <c r="H118" s="265"/>
      <c r="I118" s="265"/>
      <c r="J118" s="265"/>
      <c r="K118" s="265"/>
      <c r="L118" s="265"/>
      <c r="M118" s="265"/>
      <c r="N118" s="265"/>
      <c r="O118" s="265"/>
      <c r="P118" s="314"/>
      <c r="Q118" s="218"/>
    </row>
    <row r="119" spans="1:17" s="216" customFormat="1" ht="12.75" customHeight="1" x14ac:dyDescent="0.2">
      <c r="A119" s="302">
        <v>1</v>
      </c>
      <c r="B119" s="290" t="s">
        <v>94</v>
      </c>
      <c r="C119" s="292"/>
      <c r="D119" s="292"/>
      <c r="E119" s="292"/>
      <c r="F119" s="292"/>
      <c r="G119" s="292"/>
      <c r="H119" s="292"/>
      <c r="I119" s="292"/>
      <c r="J119" s="291"/>
      <c r="K119" s="297">
        <v>0</v>
      </c>
      <c r="L119" s="297">
        <v>0</v>
      </c>
      <c r="M119" s="297">
        <v>0</v>
      </c>
      <c r="N119" s="297">
        <v>0</v>
      </c>
      <c r="O119" s="297">
        <v>0</v>
      </c>
      <c r="P119" s="318">
        <f t="shared" ref="P119:P129" si="8">SUM(K119:O119)</f>
        <v>0</v>
      </c>
      <c r="Q119" s="218"/>
    </row>
    <row r="120" spans="1:17" s="216" customFormat="1" ht="12.75" customHeight="1" x14ac:dyDescent="0.2">
      <c r="A120" s="302">
        <v>2</v>
      </c>
      <c r="B120" s="290" t="s">
        <v>95</v>
      </c>
      <c r="C120" s="292"/>
      <c r="D120" s="292"/>
      <c r="E120" s="292"/>
      <c r="F120" s="292"/>
      <c r="G120" s="292"/>
      <c r="H120" s="292"/>
      <c r="I120" s="292"/>
      <c r="J120" s="291"/>
      <c r="K120" s="297">
        <v>0</v>
      </c>
      <c r="L120" s="297">
        <v>0</v>
      </c>
      <c r="M120" s="297">
        <v>0</v>
      </c>
      <c r="N120" s="297">
        <v>0</v>
      </c>
      <c r="O120" s="297">
        <v>0</v>
      </c>
      <c r="P120" s="318">
        <f t="shared" si="8"/>
        <v>0</v>
      </c>
      <c r="Q120" s="218"/>
    </row>
    <row r="121" spans="1:17" s="216" customFormat="1" ht="12.75" customHeight="1" x14ac:dyDescent="0.2">
      <c r="A121" s="302">
        <v>3</v>
      </c>
      <c r="B121" s="290" t="s">
        <v>54</v>
      </c>
      <c r="C121" s="292"/>
      <c r="D121" s="292"/>
      <c r="E121" s="292"/>
      <c r="F121" s="292"/>
      <c r="G121" s="292"/>
      <c r="H121" s="292"/>
      <c r="I121" s="292"/>
      <c r="J121" s="291"/>
      <c r="K121" s="297">
        <v>0</v>
      </c>
      <c r="L121" s="297">
        <v>0</v>
      </c>
      <c r="M121" s="297">
        <v>0</v>
      </c>
      <c r="N121" s="297">
        <v>0</v>
      </c>
      <c r="O121" s="297">
        <v>0</v>
      </c>
      <c r="P121" s="318">
        <f t="shared" si="8"/>
        <v>0</v>
      </c>
      <c r="Q121" s="218"/>
    </row>
    <row r="122" spans="1:17" s="216" customFormat="1" ht="12.75" hidden="1" customHeight="1" x14ac:dyDescent="0.2">
      <c r="A122" s="302">
        <v>4</v>
      </c>
      <c r="B122" s="290" t="s">
        <v>54</v>
      </c>
      <c r="C122" s="292"/>
      <c r="D122" s="292"/>
      <c r="E122" s="292"/>
      <c r="F122" s="292"/>
      <c r="G122" s="292"/>
      <c r="H122" s="292"/>
      <c r="I122" s="292"/>
      <c r="J122" s="291"/>
      <c r="K122" s="297">
        <v>0</v>
      </c>
      <c r="L122" s="297">
        <v>0</v>
      </c>
      <c r="M122" s="297">
        <v>0</v>
      </c>
      <c r="N122" s="297">
        <v>0</v>
      </c>
      <c r="O122" s="297">
        <v>0</v>
      </c>
      <c r="P122" s="318">
        <f t="shared" si="8"/>
        <v>0</v>
      </c>
      <c r="Q122" s="218"/>
    </row>
    <row r="123" spans="1:17" s="216" customFormat="1" ht="12.75" hidden="1" customHeight="1" x14ac:dyDescent="0.2">
      <c r="A123" s="302">
        <v>5</v>
      </c>
      <c r="B123" s="290" t="s">
        <v>54</v>
      </c>
      <c r="C123" s="292"/>
      <c r="D123" s="292"/>
      <c r="E123" s="292"/>
      <c r="F123" s="292"/>
      <c r="G123" s="292"/>
      <c r="H123" s="292"/>
      <c r="I123" s="292"/>
      <c r="J123" s="291"/>
      <c r="K123" s="297">
        <v>0</v>
      </c>
      <c r="L123" s="297">
        <v>0</v>
      </c>
      <c r="M123" s="297">
        <v>0</v>
      </c>
      <c r="N123" s="297">
        <v>0</v>
      </c>
      <c r="O123" s="297">
        <v>0</v>
      </c>
      <c r="P123" s="318">
        <f t="shared" si="8"/>
        <v>0</v>
      </c>
      <c r="Q123" s="218"/>
    </row>
    <row r="124" spans="1:17" s="216" customFormat="1" ht="12.75" hidden="1" customHeight="1" x14ac:dyDescent="0.2">
      <c r="A124" s="302">
        <v>6</v>
      </c>
      <c r="B124" s="290" t="s">
        <v>54</v>
      </c>
      <c r="C124" s="292"/>
      <c r="D124" s="292"/>
      <c r="E124" s="292"/>
      <c r="F124" s="292"/>
      <c r="G124" s="292"/>
      <c r="H124" s="292"/>
      <c r="I124" s="292"/>
      <c r="J124" s="291"/>
      <c r="K124" s="297">
        <v>0</v>
      </c>
      <c r="L124" s="297">
        <v>0</v>
      </c>
      <c r="M124" s="297">
        <v>0</v>
      </c>
      <c r="N124" s="297">
        <v>0</v>
      </c>
      <c r="O124" s="297">
        <v>0</v>
      </c>
      <c r="P124" s="318">
        <f t="shared" si="8"/>
        <v>0</v>
      </c>
      <c r="Q124" s="218"/>
    </row>
    <row r="125" spans="1:17" s="216" customFormat="1" ht="12.75" hidden="1" customHeight="1" x14ac:dyDescent="0.2">
      <c r="A125" s="302">
        <v>7</v>
      </c>
      <c r="B125" s="290" t="s">
        <v>54</v>
      </c>
      <c r="C125" s="292"/>
      <c r="D125" s="292"/>
      <c r="E125" s="292"/>
      <c r="F125" s="292"/>
      <c r="G125" s="292"/>
      <c r="H125" s="292"/>
      <c r="I125" s="292"/>
      <c r="J125" s="291"/>
      <c r="K125" s="297">
        <v>0</v>
      </c>
      <c r="L125" s="297">
        <v>0</v>
      </c>
      <c r="M125" s="297">
        <v>0</v>
      </c>
      <c r="N125" s="297">
        <v>0</v>
      </c>
      <c r="O125" s="297">
        <v>0</v>
      </c>
      <c r="P125" s="318">
        <f t="shared" si="8"/>
        <v>0</v>
      </c>
      <c r="Q125" s="218"/>
    </row>
    <row r="126" spans="1:17" s="216" customFormat="1" ht="12.75" hidden="1" customHeight="1" x14ac:dyDescent="0.2">
      <c r="A126" s="302">
        <v>8</v>
      </c>
      <c r="B126" s="290" t="s">
        <v>54</v>
      </c>
      <c r="C126" s="292"/>
      <c r="D126" s="292"/>
      <c r="E126" s="292"/>
      <c r="F126" s="292"/>
      <c r="G126" s="292"/>
      <c r="H126" s="292"/>
      <c r="I126" s="292"/>
      <c r="J126" s="291"/>
      <c r="K126" s="297">
        <v>0</v>
      </c>
      <c r="L126" s="297">
        <v>0</v>
      </c>
      <c r="M126" s="297">
        <v>0</v>
      </c>
      <c r="N126" s="297">
        <v>0</v>
      </c>
      <c r="O126" s="297">
        <v>0</v>
      </c>
      <c r="P126" s="318">
        <f t="shared" si="8"/>
        <v>0</v>
      </c>
      <c r="Q126" s="218"/>
    </row>
    <row r="127" spans="1:17" s="216" customFormat="1" ht="12.75" hidden="1" customHeight="1" x14ac:dyDescent="0.2">
      <c r="A127" s="302">
        <v>9</v>
      </c>
      <c r="B127" s="290" t="s">
        <v>54</v>
      </c>
      <c r="C127" s="292"/>
      <c r="D127" s="292"/>
      <c r="E127" s="292"/>
      <c r="F127" s="292"/>
      <c r="G127" s="292"/>
      <c r="H127" s="292"/>
      <c r="I127" s="292"/>
      <c r="J127" s="291"/>
      <c r="K127" s="297">
        <v>0</v>
      </c>
      <c r="L127" s="297">
        <v>0</v>
      </c>
      <c r="M127" s="297">
        <v>0</v>
      </c>
      <c r="N127" s="297">
        <v>0</v>
      </c>
      <c r="O127" s="297">
        <v>0</v>
      </c>
      <c r="P127" s="318">
        <f t="shared" si="8"/>
        <v>0</v>
      </c>
      <c r="Q127" s="218"/>
    </row>
    <row r="128" spans="1:17" s="216" customFormat="1" ht="12.75" hidden="1" customHeight="1" x14ac:dyDescent="0.2">
      <c r="A128" s="302">
        <v>10</v>
      </c>
      <c r="B128" s="290" t="s">
        <v>54</v>
      </c>
      <c r="C128" s="293"/>
      <c r="D128" s="293"/>
      <c r="E128" s="293"/>
      <c r="F128" s="293"/>
      <c r="G128" s="293"/>
      <c r="H128" s="293"/>
      <c r="I128" s="293"/>
      <c r="J128" s="294"/>
      <c r="K128" s="297">
        <v>0</v>
      </c>
      <c r="L128" s="297">
        <v>0</v>
      </c>
      <c r="M128" s="297">
        <v>0</v>
      </c>
      <c r="N128" s="297">
        <v>0</v>
      </c>
      <c r="O128" s="297">
        <v>0</v>
      </c>
      <c r="P128" s="318">
        <f t="shared" si="8"/>
        <v>0</v>
      </c>
      <c r="Q128" s="218"/>
    </row>
    <row r="129" spans="1:18" s="216" customFormat="1" ht="12.75" customHeight="1" x14ac:dyDescent="0.25">
      <c r="A129" s="679" t="s">
        <v>96</v>
      </c>
      <c r="B129" s="680"/>
      <c r="C129" s="680"/>
      <c r="D129" s="255"/>
      <c r="E129" s="255"/>
      <c r="F129" s="255"/>
      <c r="G129" s="255"/>
      <c r="H129" s="255"/>
      <c r="I129" s="255"/>
      <c r="J129" s="256"/>
      <c r="K129" s="277">
        <f>SUM(K119:K128)</f>
        <v>0</v>
      </c>
      <c r="L129" s="278">
        <f>SUM(L119:L128)</f>
        <v>0</v>
      </c>
      <c r="M129" s="278">
        <f>SUM(M119:M128)</f>
        <v>0</v>
      </c>
      <c r="N129" s="278">
        <f>SUM(N119:N128)</f>
        <v>0</v>
      </c>
      <c r="O129" s="278">
        <f>SUM(O119:O128)</f>
        <v>0</v>
      </c>
      <c r="P129" s="315">
        <f t="shared" si="8"/>
        <v>0</v>
      </c>
      <c r="Q129" s="218"/>
    </row>
    <row r="130" spans="1:18" s="216" customFormat="1" ht="12.75" customHeight="1" x14ac:dyDescent="0.2">
      <c r="A130" s="303"/>
      <c r="P130" s="304"/>
      <c r="Q130" s="218"/>
    </row>
    <row r="131" spans="1:18" s="216" customFormat="1" ht="12.75" customHeight="1" x14ac:dyDescent="0.25">
      <c r="A131" s="679" t="s">
        <v>97</v>
      </c>
      <c r="B131" s="680"/>
      <c r="C131" s="254"/>
      <c r="D131" s="255"/>
      <c r="E131" s="255"/>
      <c r="F131" s="255"/>
      <c r="G131" s="255"/>
      <c r="H131" s="255"/>
      <c r="I131" s="255"/>
      <c r="J131" s="256"/>
      <c r="K131" s="277">
        <f>ROUND(K29+K53+K61+K81+K99+K116+K129,0)</f>
        <v>0</v>
      </c>
      <c r="L131" s="277">
        <f>ROUND(L29+L53+L61+L81+L99+L116+L129,0)</f>
        <v>0</v>
      </c>
      <c r="M131" s="277">
        <f>ROUND(M29+M53+M61+M81+M99+M116+M129,0)</f>
        <v>0</v>
      </c>
      <c r="N131" s="277">
        <f>ROUND(N29+N53+N61+N81+N99+N116+N129,0)</f>
        <v>0</v>
      </c>
      <c r="O131" s="277">
        <f>ROUND(O29+O53+O61+O81+O99+O116+O129,0)</f>
        <v>0</v>
      </c>
      <c r="P131" s="315">
        <f>SUM(K131:O131)</f>
        <v>0</v>
      </c>
      <c r="Q131" s="218"/>
    </row>
    <row r="132" spans="1:18" s="216" customFormat="1" ht="12.75" customHeight="1" x14ac:dyDescent="0.2">
      <c r="A132" s="303"/>
      <c r="P132" s="304"/>
      <c r="Q132" s="218"/>
    </row>
    <row r="133" spans="1:18" s="216" customFormat="1" ht="12.75" customHeight="1" x14ac:dyDescent="0.25">
      <c r="A133" s="826" t="s">
        <v>98</v>
      </c>
      <c r="B133" s="648"/>
      <c r="C133" s="280"/>
      <c r="D133" s="280"/>
      <c r="E133" s="280"/>
      <c r="F133" s="280"/>
      <c r="G133" s="280"/>
      <c r="H133" s="280"/>
      <c r="I133" s="280"/>
      <c r="J133" s="280"/>
      <c r="K133" s="280"/>
      <c r="L133" s="280"/>
      <c r="M133" s="280"/>
      <c r="N133" s="280"/>
      <c r="O133" s="280"/>
      <c r="P133" s="316"/>
      <c r="Q133" s="218"/>
    </row>
    <row r="134" spans="1:18" s="216" customFormat="1" ht="12.75" customHeight="1" x14ac:dyDescent="0.2">
      <c r="A134" s="303"/>
      <c r="B134" s="317" t="s">
        <v>99</v>
      </c>
      <c r="C134" s="824" t="str">
        <f>Budget!C170</f>
        <v>Research - Off Campus</v>
      </c>
      <c r="D134" s="824"/>
      <c r="E134" s="824"/>
      <c r="F134" s="824"/>
      <c r="I134" s="773" t="s">
        <v>101</v>
      </c>
      <c r="J134" s="773"/>
      <c r="K134" s="283">
        <f>ROUND(K131-K129-K61,0)</f>
        <v>0</v>
      </c>
      <c r="L134" s="283">
        <f>ROUND(L131-L129-L61,0)</f>
        <v>0</v>
      </c>
      <c r="M134" s="283">
        <f>ROUND(M131-M129-M61,0)</f>
        <v>0</v>
      </c>
      <c r="N134" s="283">
        <f>ROUND(N131-N129-N61,0)</f>
        <v>0</v>
      </c>
      <c r="O134" s="283">
        <f>ROUND(O131-O129-O61,0)</f>
        <v>0</v>
      </c>
      <c r="P134" s="318">
        <f>SUM(K134:O134)</f>
        <v>0</v>
      </c>
      <c r="Q134" s="218"/>
    </row>
    <row r="135" spans="1:18" s="216" customFormat="1" ht="12.75" customHeight="1" x14ac:dyDescent="0.2">
      <c r="A135" s="303"/>
      <c r="B135" s="319"/>
      <c r="C135" s="827"/>
      <c r="D135" s="828"/>
      <c r="E135" s="829"/>
      <c r="F135" s="341" t="str">
        <f>IF(C135="Total Cost","",IF(C135="Total Direct Cost","",IF(C135="Other","Enter Rate",IF(C135="Salary and Fringe (CDFA-SCB)","","Per 1"))))</f>
        <v>Per 1</v>
      </c>
      <c r="G135" s="333" t="str">
        <f>IF(C135="Total Cost","",IF(C135="Total Direct Cost","",IF(C135="Other","Enter Rate",IF(C135="Salary and Fringe (CDFA-SCB)","","Per 2"))))</f>
        <v>Per 2</v>
      </c>
      <c r="H135" s="333" t="str">
        <f>IF(C135="Total Cost","",IF(C135="Total Direct Cost","",IF(C135="Other","Enter Rate",IF(C135="Salary and Fringe (CDFA-SCB)","","Per 3"))))</f>
        <v>Per 3</v>
      </c>
      <c r="I135" s="333" t="str">
        <f>IF(C135="Total Cost","",IF(C135="Total Direct Cost","",IF(C135="Other","Enter Rate",IF(C135="Salary and Fringe (CDFA-SCB)","","Per 4"))))</f>
        <v>Per 4</v>
      </c>
      <c r="J135" s="334" t="str">
        <f>IF(C135="Total Cost","",IF(C135="Total Direct Cost","",IF(C135="Other","Enter Rate",IF(C135="Salary and Fringe (CDFA-SCB)","","Per 5"))))</f>
        <v>Per 5</v>
      </c>
      <c r="K135" s="285"/>
      <c r="L135" s="285"/>
      <c r="M135" s="285"/>
      <c r="N135" s="285"/>
      <c r="O135" s="285"/>
      <c r="P135" s="320"/>
      <c r="Q135" s="218"/>
    </row>
    <row r="136" spans="1:18" s="216" customFormat="1" ht="12.75" customHeight="1" x14ac:dyDescent="0.25">
      <c r="A136" s="321" t="s">
        <v>290</v>
      </c>
      <c r="B136" s="322"/>
      <c r="C136" s="323"/>
      <c r="D136" s="324"/>
      <c r="E136" s="324"/>
      <c r="F136" s="296">
        <f>IF(Budget!G184="Unallowable as Cost Share",0,IF($C$134="Research - Off Campus",Worksheet!AE75,IF($C$134="Other Sponsored Activity - Off Campus",Worksheet!AE76,IF($C$134="Research - On Campus",Worksheet!AE77,IF($C$134="Other Sponsored Activity - On Campus",Worksheet!AE78,)))))</f>
        <v>0</v>
      </c>
      <c r="G136" s="296">
        <f>IF(Budget!$G$184="Unallowable as Cost Share",0,IF($C$134="Research - Off Campus",Worksheet!AF75,IF($C$134="Other Sponsored Activity - Off Campus",Worksheet!AF76,IF($C$134="Research - On Campus",Worksheet!AF77,IF($C$134="Other Sponsored Activity - On Campus",Worksheet!AF78,)))))</f>
        <v>0</v>
      </c>
      <c r="H136" s="296">
        <f>IF(Budget!$G$184="Unallowable as Cost Share",0,IF($C$134="Research - Off Campus",Worksheet!AG75,IF($C$134="Other Sponsored Activity - Off Campus",Worksheet!AG76,IF($C$134="Research - On Campus",Worksheet!AG77,IF($C$134="Other Sponsored Activity - On Campus",Worksheet!AG78,)))))</f>
        <v>0</v>
      </c>
      <c r="I136" s="296">
        <f>IF(Budget!$G$184="Unallowable as Cost Share",0,IF($C$134="Research - Off Campus",Worksheet!AH75,IF($C$134="Other Sponsored Activity - Off Campus",Worksheet!AH76,IF($C$134="Research - On Campus",Worksheet!AH77,IF($C$134="Other Sponsored Activity - On Campus",Worksheet!AH78,)))))</f>
        <v>0</v>
      </c>
      <c r="J136" s="296">
        <f>IF(Budget!$G$184="Unallowable as Cost Share",0,IF($C$134="Research - Off Campus",Worksheet!AI75,IF($C$134="Other Sponsored Activity - Off Campus",Worksheet!AI76,IF($C$134="Research - On Campus",Worksheet!AI77,IF($C$134="Other Sponsored Activity - On Campus",Worksheet!AI78,)))))</f>
        <v>0</v>
      </c>
      <c r="K136" s="278">
        <f>ROUND((K134*(((F136*Worksheet!B6)+(G136*Worksheet!B7))/Worksheet!B5)),0)</f>
        <v>0</v>
      </c>
      <c r="L136" s="278">
        <f>ROUND(IF(Budget!$L$6=0,,(L134*(((G136*Worksheet!C6)+(H136*Worksheet!C7))/Worksheet!C5))),0)</f>
        <v>0</v>
      </c>
      <c r="M136" s="278">
        <f>ROUND(IF(Budget!$M$6=0,,(M134*(((H136*Worksheet!D6)+(I136*Worksheet!D7))/Worksheet!D5))),0)</f>
        <v>0</v>
      </c>
      <c r="N136" s="278">
        <f>ROUND(IF(Budget!$N$6=0,,(N134*(((I136*Worksheet!E6)+(J136*Worksheet!E7))/Worksheet!E5))),0)</f>
        <v>0</v>
      </c>
      <c r="O136" s="278">
        <f>ROUND(IF(Budget!$O$6=0,,(O134*J136)),0)</f>
        <v>0</v>
      </c>
      <c r="P136" s="315">
        <f>SUM(K136:O136)</f>
        <v>0</v>
      </c>
      <c r="Q136" s="218"/>
      <c r="R136" s="276"/>
    </row>
    <row r="137" spans="1:18" s="216" customFormat="1" ht="12.75" customHeight="1" x14ac:dyDescent="0.25">
      <c r="A137" s="325" t="s">
        <v>291</v>
      </c>
      <c r="B137" s="326"/>
      <c r="C137" s="326"/>
      <c r="D137" s="326"/>
      <c r="E137" s="326"/>
      <c r="F137" s="820" t="str">
        <f>Budget!G185</f>
        <v>Unallowable as Cost Share</v>
      </c>
      <c r="G137" s="820"/>
      <c r="H137" s="820"/>
      <c r="I137" s="820"/>
      <c r="J137" s="821"/>
      <c r="K137" s="327">
        <f>ROUND(IF(Budget!G185="Unallowable as Cost Share",0,(ROUND(IF(AND(Budget!$C$171="Total Direct Cost",Budget!$C$170="Research - Off Campus"),(Worksheet!B100-Budget!K173), IF(AND(Budget!$C$171="Total Direct Cost",Budget!$C$170="Other Sponsored Activity - Off Campus"),(Worksheet!B101-Budget!K173),IF(AND(Budget!$C$171="Total Direct Excluding Subawards",Budget!$C$170="Research - Off Campus"),(Worksheet!B100-Budget!K173),IF(AND(Budget!$C$171="Total Direct Excluding Subawards",Budget!$C$170="Other Sponsored Activity - Off Campus"),(Worksheet!B101-Budget!K173),IF(AND(Budget!$C$171="Total Cost",Budget!$C$170="Research - Off Campus"),(Worksheet!B100-Budget!K173), IF(AND(Budget!$C$171="Total Cost",Budget!$C$170="Other Sponsored Activity - Off Campus"),(Worksheet!B101-Budget!K173),IF(AND(Budget!$C$171="Total Cost",Budget!$C$170="Research - On Campus"),(Worksheet!B102-Budget!K173), IF(AND(Budget!$C$171="Total Cost",Budget!$C$170="Other Sponsored Activity - On Campus"),(Worksheet!B103-Budget!K173),IF(AND(Budget!$C$171="Other",Budget!C$170="Research - Off Campus"),(Worksheet!B100-Budget!K173),IF(AND(Budget!$C$171="Other",Budget!$C$170="Other Sponsored Activity - Off Campus"),(Worksheet!B101-Budget!K173),IF(AND(Budget!$C$171="Other",Budget!$C$170="Research - On Campus"),(Worksheet!B102-Budget!K173), IF(AND(Budget!$C$171="Other",Budget!$C$170="Other Sponsored Activity - On Campus"),(Worksheet!B103-Budget!K173),IF(AND(Budget!$C$171="Salary and Fringe (CDFA-SCB)",Budget!$C$170="Research - Off Campus"),(Worksheet!B100-Budget!K173), IF(AND(Budget!$C$171="Salary and Fringe (CDFA-SCB)",Budget!$C$170="Other Sponsored Activity - Off Campus"),(Worksheet!B101-Budget!K173),IF(AND(Budget!$C$171="Salary and Fringe (CDFA-SCB)",Budget!$C$170="Research - On Campus"),(Worksheet!B102-Budget!K173), IF(AND(Budget!$C$171="Salary and Fringe (CDFA-SCB)",Budget!$C$170="Other Sponsored Activity - On Campus"),(Worksheet!B103-Budget!K173),IF(AND(Budget!$C$171="MTDC State of CA - Off",Budget!$C$170="Research - Off Campus"),(Worksheet!B100-Budget!K172),IF(AND(Budget!$C$171="MTDC State of CA - Off",Budget!$C$170="Other Sponsored Activity - Off Campus"),(Worksheet!B101-Budget!K172),IF(AND(Budget!$C$171="Salary and Fringe (CDFA-SCB)",Budget!$C$170="Research - On Campus"),(Worksheet!B102-Budget!K172),IF(AND(Budget!$C$171="Salary and Fringe (CDFA-SCB)",Budget!$C$170="Other Sponsored Activity - On Campus"),(Worksheet!B103-Budget!K172),IF('Cost Share'!$C$134="Research - Off Campus",(Worksheet!B100-Budget!K172),IF('Cost Share'!$C$134="Other Sponsored Activity - Off Campus",(Worksheet!B101-Budget!K172),(IF('Cost Share'!$C$134="Research - ON Campus",(Worksheet!B102-Budget!K172),IF('Cost Share'!$C$134="Other Sponsored Activity - ON Campus",(Worksheet!B103-Budget!K172)))))))))))))))))))))))))),))),0)</f>
        <v>0</v>
      </c>
      <c r="L137" s="327">
        <f>ROUND(IF(Budget!$L$6=0,,IF(Budget!G185="Unallowable as Cost Share",0,(ROUND(IF(AND(Budget!$C$171="Total Direct Cost",Budget!$C$170="Research - Off Campus"),(Worksheet!C100-Budget!L173),IF(AND(Budget!$C$171="Total Direct Cost",Budget!$C$170="Other Sponsored Activity - Off Campus"),(Worksheet!C101-Budget!L173),IF(AND(Budget!$C$171="Total Direct Excluding Subawards",Budget!$C$170="Research - Off Campus"),(Worksheet!C100-Budget!L173),IF(AND(Budget!$C$171="Total Direct Excluding Subawards",Budget!$C$170="Other Sponsored Activity - Off Campus"),(Worksheet!C101-Budget!L173),IF(AND(Budget!$C$171="Total Cost",Budget!$C$170="Research - Off Campus"),(Worksheet!C100-Budget!L173),IF(AND(Budget!$C$171="Total Cost",Budget!$C$170="Other Sponsored Activity - Off Campus"),(Worksheet!C101-Budget!L173),IF(AND(Budget!$C$171="Total Cost",Budget!$C$170="Research - On Campus"),(Worksheet!C102-Budget!L173),IF(AND(Budget!$C$171="Total Cost",Budget!$C$170="Other Sponsored Activity - On Campus"),(Worksheet!C103-Budget!L173),IF(AND(Budget!$C$171="Other",Budget!D$170="Research - Off Campus"),(Worksheet!C100-Budget!L173),IF(AND(Budget!$C$171="Other",Budget!$C$170="Other Sponsored Activity - Off Campus"),(Worksheet!C101-Budget!L173),IF(AND(Budget!$C$171="Other",Budget!$C$170="Research - On Campus"),(Worksheet!C102-Budget!L173),IF(AND(Budget!$C$171="Other",Budget!$C$170="Other Sponsored Activity - On Campus"),(Worksheet!C103-Budget!L173),IF(AND(Budget!$C$171="Salary and Fringe (CDFA-SCB)",Budget!$C$170="Research - Off Campus"),(Worksheet!C100-Budget!L173),IF(AND(Budget!$C$171="Salary and Fringe (CDFA-SCB)",Budget!$C$170="Other Sponsored Activity - Off Campus"),(Worksheet!C101-Budget!L173),IF(AND(Budget!$C$171="Salary and Fringe (CDFA-SCB)",Budget!$C$170="Research - On Campus"),(Worksheet!C102-Budget!L173),IF(AND(Budget!$C$171="Salary and Fringe (CDFA-SCB)",Budget!$C$170="Other Sponsored Activity - On Campus"),(Worksheet!C103-Budget!L173),IF(AND(Budget!$C$171="MTDC State of CA - Off",Budget!$C$170="Research - Off Campus"),(Worksheet!C100-Budget!L172),IF(AND(Budget!$C$171="MTDC State of CA - Off",Budget!$C$170="Other Sponsored Activity - Off Campus"),(Worksheet!C101-Budget!L172),IF(AND(Budget!$C$171="Salary and Fringe (CDFA-SCB)",Budget!$C$170="Research - On Campus"),(Worksheet!C102-Budget!L172),IF(AND(Budget!$C$171="Salary and Fringe (CDFA-SCB)",Budget!$C$170="Other Sponsored Activity - On Campus"),(Worksheet!C103-Budget!L172),IF('Cost Share'!$C$134="Research - Off Campus",(Worksheet!C100-Budget!L172),IF('Cost Share'!$C$134="Other Sponsored Activity - Off Campus",(Worksheet!C101-Budget!L172),(IF('Cost Share'!$C$134="Research - ON Campus",(Worksheet!C102-Budget!L172),IF('Cost Share'!$C$134="Other Sponsored Activity - ON Campus",(Worksheet!C103-Budget!L172)))))))))))))))))))))))))),)))),0)</f>
        <v>0</v>
      </c>
      <c r="M137" s="327">
        <f>ROUND(IF(Budget!$M$6=0,,IF(Budget!G185="Unallowable as Cost Share",0,(ROUND(IF(AND(Budget!$C$171="Total Direct Cost",Budget!$C$170="Research - Off Campus"),(Worksheet!D100-Budget!M173),IF(AND(Budget!$C$171="Total Direct Cost",Budget!$C$170="Other Sponsored Activity - Off Campus"),(Worksheet!D101-Budget!M173),IF(AND(Budget!$C$171="Total Direct Excluding Subawards",Budget!$C$170="Research - Off Campus"),(Worksheet!D100-Budget!M173),IF(AND(Budget!$C$171="Total Direct Excluding Subawards",Budget!$C$170="Other Sponsored Activity - Off Campus"),(Worksheet!D101-Budget!M173),IF(AND(Budget!$C$171="Total Cost",Budget!$C$170="Research - Off Campus"),(Worksheet!D100-Budget!M173),IF(AND(Budget!$C$171="Total Cost",Budget!$C$170="Other Sponsored Activity - Off Campus"),(Worksheet!D101-Budget!M173),IF(AND(Budget!$C$171="Total Cost",Budget!$C$170="Research - On Campus"),(Worksheet!D102-Budget!M173),IF(AND(Budget!$C$171="Total Cost",Budget!$C$170="Other Sponsored Activity - On Campus"),(Worksheet!D103-Budget!M173),IF(AND(Budget!$C$171="Other",Budget!E$170="Research - Off Campus"),(Worksheet!D100-Budget!M173),IF(AND(Budget!$C$171="Other",Budget!$C$170="Other Sponsored Activity - Off Campus"),(Worksheet!D101-Budget!M173),IF(AND(Budget!$C$171="Other",Budget!$C$170="Research - On Campus"),(Worksheet!D102-Budget!M173),IF(AND(Budget!$C$171="Other",Budget!$C$170="Other Sponsored Activity - On Campus"),(Worksheet!D103-Budget!M173),IF(AND(Budget!$C$171="Salary and Fringe (CDFA-SCB)",Budget!$C$170="Research - Off Campus"),(Worksheet!D100-Budget!M173),IF(AND(Budget!$C$171="Salary and Fringe (CDFA-SCB)",Budget!$C$170="Other Sponsored Activity - Off Campus"),(Worksheet!D101-Budget!M173),IF(AND(Budget!$C$171="Salary and Fringe (CDFA-SCB)",Budget!$C$170="Research - On Campus"),(Worksheet!D102-Budget!M173),IF(AND(Budget!$C$171="Salary and Fringe (CDFA-SCB)",Budget!$C$170="Other Sponsored Activity - On Campus"),(Worksheet!D103-Budget!M173),IF(AND(Budget!$C$171="MTDC State of CA - Off",Budget!$C$170="Research - Off Campus"),(Worksheet!D100-Budget!M172),IF(AND(Budget!$C$171="MTDC State of CA - Off",Budget!$C$170="Other Sponsored Activity - Off Campus"),(Worksheet!D101-Budget!M172),IF(AND(Budget!$C$171="Salary and Fringe (CDFA-SCB)",Budget!$C$170="Research - On Campus"),(Worksheet!D102-Budget!M172),IF(AND(Budget!$C$171="Salary and Fringe (CDFA-SCB)",Budget!$C$170="Other Sponsored Activity - On Campus"),(Worksheet!D103-Budget!M172),IF('Cost Share'!$C$134="Research - Off Campus",(Worksheet!D100-Budget!M172),IF('Cost Share'!$C$134="Other Sponsored Activity - Off Campus",(Worksheet!D101-Budget!M172),(IF('Cost Share'!$C$134="Research - ON Campus",(Worksheet!D102-Budget!M172),IF('Cost Share'!$C$134="Other Sponsored Activity - ON Campus",(Worksheet!D103-Budget!M172)))))))))))))))))))))))))),)))),0)</f>
        <v>0</v>
      </c>
      <c r="N137" s="327">
        <f>ROUND(IF(Budget!$N$6=0,,IF(Budget!G185="Unallowable as Cost Share",0,(ROUND(IF(AND(Budget!$C$171="Total Direct Cost",Budget!$C$170="Research - Off Campus"),(Worksheet!E100-Budget!N173),IF(AND(Budget!$C$171="Total Direct Cost",Budget!$C$170="Other Sponsored Activity - Off Campus"),(Worksheet!E101-Budget!N173),IF(AND(Budget!$C$171="Total Direct Excluding Subawards",Budget!$C$170="Research - Off Campus"),(Worksheet!E100-Budget!N173),IF(AND(Budget!$C$171="Total Direct Excluding Subawards",Budget!$C$170="Other Sponsored Activity - Off Campus"),(Worksheet!E101-Budget!N173),IF(AND(Budget!$C$171="Total Cost",Budget!$C$170="Research - Off Campus"),(Worksheet!E100-Budget!N173),IF(AND(Budget!$C$171="Total Cost",Budget!$C$170="Other Sponsored Activity - Off Campus"),(Worksheet!E101-Budget!N173),IF(AND(Budget!$C$171="Total Cost",Budget!$C$170="Research - On Campus"),(Worksheet!E102-Budget!N173),IF(AND(Budget!$C$171="Total Cost",Budget!$C$170="Other Sponsored Activity - On Campus"),(Worksheet!E103-Budget!N173),IF(AND(Budget!$C$171="Other",Budget!F$170="Research - Off Campus"),(Worksheet!E100-Budget!N173),IF(AND(Budget!$C$171="Other",Budget!$C$170="Other Sponsored Activity - Off Campus"),(Worksheet!E101-Budget!N173),IF(AND(Budget!$C$171="Other",Budget!$C$170="Research - On Campus"),(Worksheet!E102-Budget!N173),IF(AND(Budget!$C$171="Other",Budget!$C$170="Other Sponsored Activity - On Campus"),(Worksheet!E103-Budget!N173),IF(AND(Budget!$C$171="Salary and Fringe (CDFA-SCB)",Budget!$C$170="Research - Off Campus"),(Worksheet!E100-Budget!N173),IF(AND(Budget!$C$171="Salary and Fringe (CDFA-SCB)",Budget!$C$170="Other Sponsored Activity - Off Campus"),(Worksheet!E101-Budget!N173),IF(AND(Budget!$C$171="Salary and Fringe (CDFA-SCB)",Budget!$C$170="Research - On Campus"),(Worksheet!E102-Budget!N173),IF(AND(Budget!$C$171="Salary and Fringe (CDFA-SCB)",Budget!$C$170="Other Sponsored Activity - On Campus"),(Worksheet!E103-Budget!N173),IF(AND(Budget!$C$171="MTDC State of CA - Off",Budget!$C$170="Research - Off Campus"),(Worksheet!E100-Budget!N172),IF(AND(Budget!$C$171="MTDC State of CA - Off",Budget!$C$170="Other Sponsored Activity - Off Campus"),(Worksheet!E101-Budget!N172),IF(AND(Budget!$C$171="Salary and Fringe (CDFA-SCB)",Budget!$C$170="Research - On Campus"),(Worksheet!E102-Budget!N172),IF(AND(Budget!$C$171="Salary and Fringe (CDFA-SCB)",Budget!$C$170="Other Sponsored Activity - On Campus"),(Worksheet!E103-Budget!N172),IF('Cost Share'!$C$134="Research - Off Campus",(Worksheet!E100-Budget!N172),IF('Cost Share'!$C$134="Other Sponsored Activity - Off Campus",(Worksheet!E101-Budget!N172),(IF('Cost Share'!$C$134="Research - ON Campus",(Worksheet!E102-Budget!N172),IF('Cost Share'!$C$134="Other Sponsored Activity - ON Campus",(Worksheet!E103-Budget!N172)))))))))))))))))))))))))),)))),0)</f>
        <v>0</v>
      </c>
      <c r="O137" s="327">
        <f>ROUND(IF(Budget!$O$6=0,,IF(Budget!G185="Unallowable as Cost Share",0,(ROUND(IF(AND(Budget!$C$171="Total Direct Cost",Budget!$C$170="Research - Off Campus"),(Worksheet!F100-Budget!O173),IF(AND(Budget!$C$171="Total Direct Cost",Budget!$C$170="Other Sponsored Activity - Off Campus"),(Worksheet!F101-Budget!O173),IF(AND(Budget!$C$171="Total Direct Excluding Subawards",Budget!$C$170="Research - Off Campus"),(Worksheet!F100-Budget!O173),IF(AND(Budget!$C$171="Total Direct Excluding Subawards",Budget!$C$170="Other Sponsored Activity - Off Campus"),(Worksheet!F101-Budget!O173),IF(AND(Budget!$C$171="Total Cost",Budget!$C$170="Research - Off Campus"),(Worksheet!F100-Budget!O173),IF(AND(Budget!$C$171="Total Cost",Budget!$C$170="Other Sponsored Activity - Off Campus"),(Worksheet!F101-Budget!O173),IF(AND(Budget!$C$171="Total Cost",Budget!$C$170="Research - On Campus"),(Worksheet!F102-Budget!O173),IF(AND(Budget!$C$171="Total Cost",Budget!$C$170="Other Sponsored Activity - On Campus"),(Worksheet!F103-Budget!O173),IF(AND(Budget!$C$171="Other",Budget!G$170="Research - Off Campus"),(Worksheet!F100-Budget!O173),IF(AND(Budget!$C$171="Other",Budget!$C$170="Other Sponsored Activity - Off Campus"),(Worksheet!F101-Budget!O173),IF(AND(Budget!$C$171="Other",Budget!$C$170="Research - On Campus"),(Worksheet!F102-Budget!O173),IF(AND(Budget!$C$171="Other",Budget!$C$170="Other Sponsored Activity - On Campus"),(Worksheet!F103-Budget!O173),IF(AND(Budget!$C$171="Salary and Fringe (CDFA-SCB)",Budget!$C$170="Research - Off Campus"),(Worksheet!F100-Budget!O173),IF(AND(Budget!$C$171="Salary and Fringe (CDFA-SCB)",Budget!$C$170="Other Sponsored Activity - Off Campus"),(Worksheet!F101-Budget!O173),IF(AND(Budget!$C$171="Salary and Fringe (CDFA-SCB)",Budget!$C$170="Research - On Campus"),(Worksheet!F102-Budget!O173),IF(AND(Budget!$C$171="Salary and Fringe (CDFA-SCB)",Budget!$C$170="Other Sponsored Activity - On Campus"),(Worksheet!F103-Budget!O173),IF(AND(Budget!$C$171="MTDC State of CA - Off",Budget!$C$170="Research - Off Campus"),(Worksheet!F100-Budget!O172),IF(AND(Budget!$C$171="MTDC State of CA - Off",Budget!$C$170="Other Sponsored Activity - Off Campus"),(Worksheet!F101-Budget!O172),IF(AND(Budget!$C$171="Salary and Fringe (CDFA-SCB)",Budget!$C$170="Research - On Campus"),(Worksheet!F102-Budget!O172),IF(AND(Budget!$C$171="Salary and Fringe (CDFA-SCB)",Budget!$C$170="Other Sponsored Activity - On Campus"),(Worksheet!F103-Budget!O172),IF('Cost Share'!$C$134="Research - Off Campus",(Worksheet!F100-Budget!O172),IF('Cost Share'!$C$134="Other Sponsored Activity - Off Campus",(Worksheet!F101-Budget!O172),(IF('Cost Share'!$C$134="Research - ON Campus",(Worksheet!F102-Budget!O172),IF('Cost Share'!$C$134="Other Sponsored Activity - ON Campus",(Worksheet!F103-Budget!O172)))))))))))))))))))))))))),)))),0)</f>
        <v>0</v>
      </c>
      <c r="P137" s="315">
        <f>SUM(K137:O137)</f>
        <v>0</v>
      </c>
      <c r="Q137" s="218"/>
      <c r="R137" s="328"/>
    </row>
    <row r="138" spans="1:18" s="216" customFormat="1" ht="12.75" customHeight="1" x14ac:dyDescent="0.25">
      <c r="A138" s="679" t="s">
        <v>112</v>
      </c>
      <c r="B138" s="680"/>
      <c r="C138" s="680"/>
      <c r="D138" s="680"/>
      <c r="E138" s="680"/>
      <c r="F138" s="680"/>
      <c r="G138" s="680"/>
      <c r="H138" s="680"/>
      <c r="I138" s="680"/>
      <c r="J138" s="681"/>
      <c r="K138" s="277">
        <f>ROUND(K131+K136+K137,0)</f>
        <v>0</v>
      </c>
      <c r="L138" s="277">
        <f>ROUND(IF(Budget!$L$6=0,,L131+L136+L137),0)</f>
        <v>0</v>
      </c>
      <c r="M138" s="277">
        <f>ROUND(IF(Budget!$M$6=0,,M131+M136+M137),0)</f>
        <v>0</v>
      </c>
      <c r="N138" s="277">
        <f>ROUND(IF(Budget!$N$6=0,,N131+N136+N137),0)</f>
        <v>0</v>
      </c>
      <c r="O138" s="277">
        <f>ROUND(IF(Budget!$O$6=0,,O131+O136+O137),0)</f>
        <v>0</v>
      </c>
      <c r="P138" s="315">
        <f>SUM(K138:O138)</f>
        <v>0</v>
      </c>
      <c r="Q138" s="218"/>
      <c r="R138" s="329"/>
    </row>
    <row r="139" spans="1:18" s="216" customFormat="1" ht="12.75" customHeight="1" x14ac:dyDescent="0.2">
      <c r="A139" s="303"/>
      <c r="P139" s="304"/>
      <c r="Q139" s="218"/>
    </row>
    <row r="140" spans="1:18" s="216" customFormat="1" ht="12.75" customHeight="1" x14ac:dyDescent="0.25">
      <c r="A140" s="330" t="s">
        <v>113</v>
      </c>
      <c r="B140" s="265"/>
      <c r="C140" s="265"/>
      <c r="D140" s="265"/>
      <c r="E140" s="265"/>
      <c r="F140" s="265"/>
      <c r="G140" s="265"/>
      <c r="H140" s="265"/>
      <c r="I140" s="265"/>
      <c r="J140" s="265"/>
      <c r="K140" s="265"/>
      <c r="L140" s="265"/>
      <c r="M140" s="265"/>
      <c r="N140" s="265"/>
      <c r="O140" s="265"/>
      <c r="P140" s="314"/>
      <c r="Q140" s="218"/>
    </row>
    <row r="141" spans="1:18" s="216" customFormat="1" ht="12.75" customHeight="1" x14ac:dyDescent="0.2">
      <c r="A141" s="302">
        <v>1</v>
      </c>
      <c r="B141" s="641" t="s">
        <v>114</v>
      </c>
      <c r="C141" s="642"/>
      <c r="D141" s="642"/>
      <c r="E141" s="642"/>
      <c r="F141" s="642"/>
      <c r="G141" s="642"/>
      <c r="H141" s="642"/>
      <c r="I141" s="642"/>
      <c r="J141" s="643"/>
      <c r="K141" s="297">
        <v>0</v>
      </c>
      <c r="L141" s="297">
        <v>0</v>
      </c>
      <c r="M141" s="297">
        <v>0</v>
      </c>
      <c r="N141" s="297">
        <v>0</v>
      </c>
      <c r="O141" s="297">
        <v>0</v>
      </c>
      <c r="P141" s="318">
        <f t="shared" ref="P141:P155" si="9">SUM(K141:O141)</f>
        <v>0</v>
      </c>
      <c r="Q141" s="218"/>
    </row>
    <row r="142" spans="1:18" s="216" customFormat="1" ht="12.75" customHeight="1" x14ac:dyDescent="0.2">
      <c r="A142" s="302">
        <v>2</v>
      </c>
      <c r="B142" s="641"/>
      <c r="C142" s="642"/>
      <c r="D142" s="642"/>
      <c r="E142" s="642"/>
      <c r="F142" s="642"/>
      <c r="G142" s="642"/>
      <c r="H142" s="642"/>
      <c r="I142" s="642"/>
      <c r="J142" s="643"/>
      <c r="K142" s="297">
        <v>0</v>
      </c>
      <c r="L142" s="297">
        <v>0</v>
      </c>
      <c r="M142" s="297">
        <v>0</v>
      </c>
      <c r="N142" s="297">
        <v>0</v>
      </c>
      <c r="O142" s="297">
        <v>0</v>
      </c>
      <c r="P142" s="318">
        <f t="shared" si="9"/>
        <v>0</v>
      </c>
      <c r="Q142" s="218"/>
    </row>
    <row r="143" spans="1:18" s="216" customFormat="1" ht="12.75" customHeight="1" x14ac:dyDescent="0.2">
      <c r="A143" s="302">
        <v>3</v>
      </c>
      <c r="B143" s="641"/>
      <c r="C143" s="642"/>
      <c r="D143" s="642"/>
      <c r="E143" s="642"/>
      <c r="F143" s="642"/>
      <c r="G143" s="642"/>
      <c r="H143" s="642"/>
      <c r="I143" s="642"/>
      <c r="J143" s="643"/>
      <c r="K143" s="297">
        <v>0</v>
      </c>
      <c r="L143" s="297">
        <v>0</v>
      </c>
      <c r="M143" s="297">
        <v>0</v>
      </c>
      <c r="N143" s="297">
        <v>0</v>
      </c>
      <c r="O143" s="297">
        <v>0</v>
      </c>
      <c r="P143" s="318">
        <f t="shared" si="9"/>
        <v>0</v>
      </c>
      <c r="Q143" s="218"/>
    </row>
    <row r="144" spans="1:18" s="216" customFormat="1" ht="12.75" customHeight="1" x14ac:dyDescent="0.2">
      <c r="A144" s="302">
        <v>4</v>
      </c>
      <c r="B144" s="641"/>
      <c r="C144" s="642"/>
      <c r="D144" s="642"/>
      <c r="E144" s="642"/>
      <c r="F144" s="642"/>
      <c r="G144" s="642"/>
      <c r="H144" s="642"/>
      <c r="I144" s="642"/>
      <c r="J144" s="643"/>
      <c r="K144" s="297">
        <v>0</v>
      </c>
      <c r="L144" s="297">
        <v>0</v>
      </c>
      <c r="M144" s="297">
        <v>0</v>
      </c>
      <c r="N144" s="297">
        <v>0</v>
      </c>
      <c r="O144" s="297">
        <v>0</v>
      </c>
      <c r="P144" s="318">
        <f t="shared" si="9"/>
        <v>0</v>
      </c>
      <c r="Q144" s="218"/>
    </row>
    <row r="145" spans="1:18" s="216" customFormat="1" ht="12.75" customHeight="1" x14ac:dyDescent="0.2">
      <c r="A145" s="302">
        <v>5</v>
      </c>
      <c r="B145" s="641"/>
      <c r="C145" s="642"/>
      <c r="D145" s="642"/>
      <c r="E145" s="642"/>
      <c r="F145" s="642"/>
      <c r="G145" s="642"/>
      <c r="H145" s="642"/>
      <c r="I145" s="642"/>
      <c r="J145" s="643"/>
      <c r="K145" s="297">
        <v>0</v>
      </c>
      <c r="L145" s="297">
        <v>0</v>
      </c>
      <c r="M145" s="297">
        <v>0</v>
      </c>
      <c r="N145" s="297">
        <v>0</v>
      </c>
      <c r="O145" s="297">
        <v>0</v>
      </c>
      <c r="P145" s="318">
        <f t="shared" si="9"/>
        <v>0</v>
      </c>
      <c r="Q145" s="218"/>
    </row>
    <row r="146" spans="1:18" s="216" customFormat="1" ht="12.75" hidden="1" customHeight="1" x14ac:dyDescent="0.2">
      <c r="A146" s="302">
        <v>6</v>
      </c>
      <c r="B146" s="641" t="s">
        <v>114</v>
      </c>
      <c r="C146" s="642"/>
      <c r="D146" s="642"/>
      <c r="E146" s="642"/>
      <c r="F146" s="642"/>
      <c r="G146" s="642"/>
      <c r="H146" s="642"/>
      <c r="I146" s="642"/>
      <c r="J146" s="643"/>
      <c r="K146" s="297">
        <v>0</v>
      </c>
      <c r="L146" s="297">
        <v>0</v>
      </c>
      <c r="M146" s="297">
        <v>0</v>
      </c>
      <c r="N146" s="297">
        <v>0</v>
      </c>
      <c r="O146" s="297">
        <v>0</v>
      </c>
      <c r="P146" s="318">
        <f t="shared" si="9"/>
        <v>0</v>
      </c>
      <c r="Q146" s="218"/>
    </row>
    <row r="147" spans="1:18" s="216" customFormat="1" ht="12.75" hidden="1" customHeight="1" x14ac:dyDescent="0.2">
      <c r="A147" s="302">
        <v>7</v>
      </c>
      <c r="B147" s="641" t="s">
        <v>114</v>
      </c>
      <c r="C147" s="642"/>
      <c r="D147" s="642"/>
      <c r="E147" s="642"/>
      <c r="F147" s="642"/>
      <c r="G147" s="642"/>
      <c r="H147" s="642"/>
      <c r="I147" s="642"/>
      <c r="J147" s="643"/>
      <c r="K147" s="297">
        <v>0</v>
      </c>
      <c r="L147" s="297">
        <v>0</v>
      </c>
      <c r="M147" s="297">
        <v>0</v>
      </c>
      <c r="N147" s="297">
        <v>0</v>
      </c>
      <c r="O147" s="297">
        <v>0</v>
      </c>
      <c r="P147" s="318">
        <f t="shared" si="9"/>
        <v>0</v>
      </c>
      <c r="Q147" s="218"/>
    </row>
    <row r="148" spans="1:18" s="216" customFormat="1" ht="12.75" hidden="1" customHeight="1" x14ac:dyDescent="0.2">
      <c r="A148" s="302">
        <v>8</v>
      </c>
      <c r="B148" s="641" t="s">
        <v>114</v>
      </c>
      <c r="C148" s="642"/>
      <c r="D148" s="642"/>
      <c r="E148" s="642"/>
      <c r="F148" s="642"/>
      <c r="G148" s="642"/>
      <c r="H148" s="642"/>
      <c r="I148" s="642"/>
      <c r="J148" s="643"/>
      <c r="K148" s="297">
        <v>0</v>
      </c>
      <c r="L148" s="297">
        <v>0</v>
      </c>
      <c r="M148" s="297">
        <v>0</v>
      </c>
      <c r="N148" s="297">
        <v>0</v>
      </c>
      <c r="O148" s="297">
        <v>0</v>
      </c>
      <c r="P148" s="318">
        <f t="shared" si="9"/>
        <v>0</v>
      </c>
      <c r="Q148" s="218"/>
    </row>
    <row r="149" spans="1:18" s="216" customFormat="1" ht="12.75" hidden="1" customHeight="1" x14ac:dyDescent="0.2">
      <c r="A149" s="302">
        <v>9</v>
      </c>
      <c r="B149" s="641" t="s">
        <v>114</v>
      </c>
      <c r="C149" s="642"/>
      <c r="D149" s="642"/>
      <c r="E149" s="642"/>
      <c r="F149" s="642"/>
      <c r="G149" s="642"/>
      <c r="H149" s="642"/>
      <c r="I149" s="642"/>
      <c r="J149" s="643"/>
      <c r="K149" s="297">
        <v>0</v>
      </c>
      <c r="L149" s="297">
        <v>0</v>
      </c>
      <c r="M149" s="297">
        <v>0</v>
      </c>
      <c r="N149" s="297">
        <v>0</v>
      </c>
      <c r="O149" s="297">
        <v>0</v>
      </c>
      <c r="P149" s="318">
        <f t="shared" si="9"/>
        <v>0</v>
      </c>
      <c r="Q149" s="218"/>
    </row>
    <row r="150" spans="1:18" s="216" customFormat="1" ht="12.75" hidden="1" customHeight="1" x14ac:dyDescent="0.2">
      <c r="A150" s="302">
        <v>10</v>
      </c>
      <c r="B150" s="641" t="s">
        <v>114</v>
      </c>
      <c r="C150" s="642"/>
      <c r="D150" s="642"/>
      <c r="E150" s="642"/>
      <c r="F150" s="642"/>
      <c r="G150" s="642"/>
      <c r="H150" s="642"/>
      <c r="I150" s="642"/>
      <c r="J150" s="643"/>
      <c r="K150" s="297">
        <v>0</v>
      </c>
      <c r="L150" s="297">
        <v>0</v>
      </c>
      <c r="M150" s="297">
        <v>0</v>
      </c>
      <c r="N150" s="297">
        <v>0</v>
      </c>
      <c r="O150" s="297">
        <v>0</v>
      </c>
      <c r="P150" s="318">
        <f t="shared" si="9"/>
        <v>0</v>
      </c>
      <c r="Q150" s="218"/>
    </row>
    <row r="151" spans="1:18" s="216" customFormat="1" ht="12.75" hidden="1" customHeight="1" x14ac:dyDescent="0.2">
      <c r="A151" s="302">
        <v>11</v>
      </c>
      <c r="B151" s="641" t="s">
        <v>114</v>
      </c>
      <c r="C151" s="642"/>
      <c r="D151" s="642"/>
      <c r="E151" s="642"/>
      <c r="F151" s="642"/>
      <c r="G151" s="642"/>
      <c r="H151" s="642"/>
      <c r="I151" s="642"/>
      <c r="J151" s="643"/>
      <c r="K151" s="297">
        <v>0</v>
      </c>
      <c r="L151" s="297">
        <v>0</v>
      </c>
      <c r="M151" s="297">
        <v>0</v>
      </c>
      <c r="N151" s="297">
        <v>0</v>
      </c>
      <c r="O151" s="297">
        <v>0</v>
      </c>
      <c r="P151" s="318">
        <f t="shared" si="9"/>
        <v>0</v>
      </c>
      <c r="Q151" s="218"/>
    </row>
    <row r="152" spans="1:18" s="216" customFormat="1" ht="12.75" hidden="1" customHeight="1" x14ac:dyDescent="0.2">
      <c r="A152" s="302">
        <v>12</v>
      </c>
      <c r="B152" s="641" t="s">
        <v>114</v>
      </c>
      <c r="C152" s="642"/>
      <c r="D152" s="642"/>
      <c r="E152" s="642"/>
      <c r="F152" s="642"/>
      <c r="G152" s="642"/>
      <c r="H152" s="642"/>
      <c r="I152" s="642"/>
      <c r="J152" s="643"/>
      <c r="K152" s="297">
        <v>0</v>
      </c>
      <c r="L152" s="297">
        <v>0</v>
      </c>
      <c r="M152" s="297">
        <v>0</v>
      </c>
      <c r="N152" s="297">
        <v>0</v>
      </c>
      <c r="O152" s="297">
        <v>0</v>
      </c>
      <c r="P152" s="318">
        <f t="shared" si="9"/>
        <v>0</v>
      </c>
      <c r="Q152" s="218"/>
    </row>
    <row r="153" spans="1:18" s="216" customFormat="1" ht="12.75" hidden="1" customHeight="1" x14ac:dyDescent="0.2">
      <c r="A153" s="302">
        <v>13</v>
      </c>
      <c r="B153" s="641" t="s">
        <v>114</v>
      </c>
      <c r="C153" s="642"/>
      <c r="D153" s="642"/>
      <c r="E153" s="642"/>
      <c r="F153" s="642"/>
      <c r="G153" s="642"/>
      <c r="H153" s="642"/>
      <c r="I153" s="642"/>
      <c r="J153" s="643"/>
      <c r="K153" s="297">
        <v>0</v>
      </c>
      <c r="L153" s="297">
        <v>0</v>
      </c>
      <c r="M153" s="297">
        <v>0</v>
      </c>
      <c r="N153" s="297">
        <v>0</v>
      </c>
      <c r="O153" s="297">
        <v>0</v>
      </c>
      <c r="P153" s="318">
        <f t="shared" si="9"/>
        <v>0</v>
      </c>
      <c r="Q153" s="218"/>
    </row>
    <row r="154" spans="1:18" s="216" customFormat="1" ht="12.75" hidden="1" customHeight="1" x14ac:dyDescent="0.2">
      <c r="A154" s="302">
        <v>14</v>
      </c>
      <c r="B154" s="641" t="s">
        <v>114</v>
      </c>
      <c r="C154" s="642"/>
      <c r="D154" s="642"/>
      <c r="E154" s="642"/>
      <c r="F154" s="642"/>
      <c r="G154" s="642"/>
      <c r="H154" s="642"/>
      <c r="I154" s="642"/>
      <c r="J154" s="643"/>
      <c r="K154" s="297">
        <v>0</v>
      </c>
      <c r="L154" s="297">
        <v>0</v>
      </c>
      <c r="M154" s="297">
        <v>0</v>
      </c>
      <c r="N154" s="297">
        <v>0</v>
      </c>
      <c r="O154" s="297">
        <v>0</v>
      </c>
      <c r="P154" s="318">
        <f t="shared" si="9"/>
        <v>0</v>
      </c>
      <c r="Q154" s="218"/>
    </row>
    <row r="155" spans="1:18" s="216" customFormat="1" ht="12.75" customHeight="1" x14ac:dyDescent="0.25">
      <c r="A155" s="679" t="s">
        <v>115</v>
      </c>
      <c r="B155" s="680"/>
      <c r="C155" s="680"/>
      <c r="D155" s="255"/>
      <c r="E155" s="255"/>
      <c r="F155" s="255"/>
      <c r="G155" s="255"/>
      <c r="H155" s="255"/>
      <c r="I155" s="255"/>
      <c r="J155" s="256"/>
      <c r="K155" s="277">
        <f>SUM(K141:K154)</f>
        <v>0</v>
      </c>
      <c r="L155" s="278">
        <f>SUM(L141:L154)</f>
        <v>0</v>
      </c>
      <c r="M155" s="278">
        <f>SUM(M141:M154)</f>
        <v>0</v>
      </c>
      <c r="N155" s="278">
        <f>SUM(N141:N154)</f>
        <v>0</v>
      </c>
      <c r="O155" s="278">
        <f>SUM(O141:O154)</f>
        <v>0</v>
      </c>
      <c r="P155" s="315">
        <f t="shared" si="9"/>
        <v>0</v>
      </c>
      <c r="Q155" s="218"/>
    </row>
    <row r="156" spans="1:18" s="216" customFormat="1" ht="12.75" customHeight="1" x14ac:dyDescent="0.2">
      <c r="A156" s="303"/>
      <c r="P156" s="304"/>
      <c r="Q156" s="218"/>
    </row>
    <row r="157" spans="1:18" s="216" customFormat="1" ht="12.75" customHeight="1" x14ac:dyDescent="0.25">
      <c r="A157" s="679" t="s">
        <v>116</v>
      </c>
      <c r="B157" s="680"/>
      <c r="C157" s="331"/>
      <c r="D157" s="331"/>
      <c r="E157" s="331"/>
      <c r="F157" s="331"/>
      <c r="G157" s="331"/>
      <c r="H157" s="331"/>
      <c r="I157" s="255"/>
      <c r="J157" s="256"/>
      <c r="K157" s="277">
        <f>K155+K138</f>
        <v>0</v>
      </c>
      <c r="L157" s="277">
        <f>IF(Budget!$L$6=0,"",L155+L138)</f>
        <v>0</v>
      </c>
      <c r="M157" s="277">
        <f>IF(Budget!$M$6=0,"",M155+M138)</f>
        <v>0</v>
      </c>
      <c r="N157" s="277">
        <f>IF(Budget!$N$6=0,"",N155+N138)</f>
        <v>0</v>
      </c>
      <c r="O157" s="277">
        <f>IF(Budget!$O$6=0,"",O155+O138)</f>
        <v>0</v>
      </c>
      <c r="P157" s="315">
        <f>SUM(K157:O157)</f>
        <v>0</v>
      </c>
      <c r="Q157" s="218"/>
    </row>
    <row r="158" spans="1:18" s="216" customFormat="1" ht="12.75" customHeight="1" thickBot="1" x14ac:dyDescent="0.25">
      <c r="A158" s="812" t="s">
        <v>221</v>
      </c>
      <c r="B158" s="813"/>
      <c r="C158" s="814">
        <f>Budget!C190</f>
        <v>0</v>
      </c>
      <c r="D158" s="815"/>
      <c r="E158" s="816"/>
      <c r="F158" s="817" t="s">
        <v>118</v>
      </c>
      <c r="G158" s="818"/>
      <c r="H158" s="818"/>
      <c r="I158" s="818"/>
      <c r="J158" s="819"/>
      <c r="K158" s="332">
        <f>IF($C$158="25% Match / 1:4",K157-(Budget!K$175*0.25),IF($C$158="50% Match / 1:2",K157-(Budget!K$175*0.5),IF($C$158="75% Match",K157-(Budget!K$175*0.75),IF($C$158="100% Match / 1:1",K157-(Budget!K$175),IF($C$158="200% Match / 2:1",K157-(Budget!K$175*2),IF($C$158="No Set Percentage Required","",IF($C$158="Other","",)))))))</f>
        <v>0</v>
      </c>
      <c r="L158" s="332">
        <f>IF(Budget!$L$6=0,,IF($C$158="25% Match / 1:4",L157-(Budget!L$175*0.25),IF($C$158="50% Match / 1:2",L157-(Budget!L$175*0.5),IF($C$158="75% Match",L157-(Budget!L$175*0.75),IF($C$158="100% Match / 1:1",L157-(Budget!L$175),IF($C$158="200% Match / 2:1",L157-(Budget!L$175*2),IF($C$158="No Set Percentage Required","",IF($C$158="Other","",))))))))</f>
        <v>0</v>
      </c>
      <c r="M158" s="332">
        <f>IF(Budget!$M$6=0,,IF($C$158="25% Match / 1:4",M157-(Budget!M$175*0.25),IF($C$158="50% Match / 1:2",M157-(Budget!M$175*0.5),IF($C$158="75% Match",M157-(Budget!M$175*0.75),IF($C$158="100% Match / 1:1",M157-(Budget!M$175),IF($C$158="200% Match / 2:1",M157-(Budget!M$175*2),IF($C$158="No Set Percentage Required","",IF($C$158="Other","",))))))))</f>
        <v>0</v>
      </c>
      <c r="N158" s="332">
        <f>IF(Budget!$N$6=0,,IF($C$158="25% Match / 1:4",N157-(Budget!N$175*0.25),IF($C$158="50% Match / 1:2",N157-(Budget!N$175*0.5),IF($C$158="75% Match",N157-(Budget!N$175*0.75),IF($C$158="100% Match / 1:1",N157-(Budget!N$175),IF($C$158="200% Match / 2:1",N157-(Budget!N$175*2),IF($C$158="No Set Percentage Required","",IF($C$158="Other","",))))))))</f>
        <v>0</v>
      </c>
      <c r="O158" s="332">
        <f>IF(Budget!$O$6=0,,IF($C$158="25% Match / 1:4",O157-(Budget!O$175*0.25),IF($C$158="50% Match / 1:2",O157-(Budget!O$175*0.5),IF($C$158="75% Match",O157-(Budget!O$175*0.75),IF($C$158="100% Match / 1:1",O157-(Budget!O$175),IF($C$158="200% Match / 2:1",O157-(Budget!O$175*2),IF($C$158="No Set Percentage Required","",IF($C$158="Other","",))))))))</f>
        <v>0</v>
      </c>
      <c r="P158" s="332">
        <f>IF($C$158="25% Match / 1:4",P157-(Budget!P$175*0.25),IF($C$158="50% Match / 1:2",P157-(Budget!P$175*0.5),IF($C$158="75% Match",P157-(Budget!P$175*0.75),IF($C$158="100% Match / 1:1",P157-(Budget!P$175),IF($C$158="200% Match / 2:1",P157-(Budget!P$175*2),IF($C$158="No Set Percentage Required","",IF($C$158="Other","",)))))))</f>
        <v>0</v>
      </c>
      <c r="R158" s="276" t="str">
        <f>IF(C158="Other","",IF(C158="No Set Percentage Required","",IF(C158="","",IF(P158&gt;=-0.05,"Cost Share Ratio Met","Cost Share Under Required Ratio"))))</f>
        <v>Cost Share Ratio Met</v>
      </c>
    </row>
  </sheetData>
  <sheetProtection sheet="1" formatColumns="0" formatRows="0"/>
  <mergeCells count="81">
    <mergeCell ref="C1:H1"/>
    <mergeCell ref="C2:H2"/>
    <mergeCell ref="E3:J3"/>
    <mergeCell ref="I4:J4"/>
    <mergeCell ref="A79:B79"/>
    <mergeCell ref="B74:I74"/>
    <mergeCell ref="B75:I75"/>
    <mergeCell ref="B76:I76"/>
    <mergeCell ref="B77:I77"/>
    <mergeCell ref="B78:I78"/>
    <mergeCell ref="A5:J5"/>
    <mergeCell ref="A56:P56"/>
    <mergeCell ref="D31:H31"/>
    <mergeCell ref="A53:B53"/>
    <mergeCell ref="K7:K8"/>
    <mergeCell ref="B66:I66"/>
    <mergeCell ref="C135:E135"/>
    <mergeCell ref="A131:B131"/>
    <mergeCell ref="B84:J84"/>
    <mergeCell ref="B85:J85"/>
    <mergeCell ref="B86:J86"/>
    <mergeCell ref="B87:J87"/>
    <mergeCell ref="A133:B133"/>
    <mergeCell ref="A129:C129"/>
    <mergeCell ref="B68:I68"/>
    <mergeCell ref="B69:I69"/>
    <mergeCell ref="A63:I63"/>
    <mergeCell ref="B64:I64"/>
    <mergeCell ref="A116:B116"/>
    <mergeCell ref="A80:B80"/>
    <mergeCell ref="B70:I70"/>
    <mergeCell ref="B71:I71"/>
    <mergeCell ref="B72:I72"/>
    <mergeCell ref="B73:I73"/>
    <mergeCell ref="B58:J58"/>
    <mergeCell ref="B59:J59"/>
    <mergeCell ref="B60:J60"/>
    <mergeCell ref="B65:I65"/>
    <mergeCell ref="B67:I67"/>
    <mergeCell ref="B7:B8"/>
    <mergeCell ref="C7:C8"/>
    <mergeCell ref="D7:H7"/>
    <mergeCell ref="I7:J8"/>
    <mergeCell ref="L7:L8"/>
    <mergeCell ref="M7:M8"/>
    <mergeCell ref="N7:N8"/>
    <mergeCell ref="O7:O8"/>
    <mergeCell ref="P7:P8"/>
    <mergeCell ref="R9:W9"/>
    <mergeCell ref="R33:W33"/>
    <mergeCell ref="A54:B54"/>
    <mergeCell ref="A29:B29"/>
    <mergeCell ref="A155:C155"/>
    <mergeCell ref="A138:J138"/>
    <mergeCell ref="B146:J146"/>
    <mergeCell ref="B147:J147"/>
    <mergeCell ref="B148:J148"/>
    <mergeCell ref="A81:B81"/>
    <mergeCell ref="C134:F134"/>
    <mergeCell ref="I134:J134"/>
    <mergeCell ref="B88:J88"/>
    <mergeCell ref="A99:B99"/>
    <mergeCell ref="B102:J102"/>
    <mergeCell ref="B105:J105"/>
    <mergeCell ref="B57:J57"/>
    <mergeCell ref="A158:B158"/>
    <mergeCell ref="C158:E158"/>
    <mergeCell ref="F158:J158"/>
    <mergeCell ref="F137:J137"/>
    <mergeCell ref="B149:J149"/>
    <mergeCell ref="B150:J150"/>
    <mergeCell ref="B151:J151"/>
    <mergeCell ref="B152:J152"/>
    <mergeCell ref="B153:J153"/>
    <mergeCell ref="B154:J154"/>
    <mergeCell ref="B141:J141"/>
    <mergeCell ref="B144:J144"/>
    <mergeCell ref="B142:J142"/>
    <mergeCell ref="B143:J143"/>
    <mergeCell ref="B145:J145"/>
    <mergeCell ref="A157:B157"/>
  </mergeCells>
  <conditionalFormatting sqref="A6:P8 A9:A10 I9:P28 A11:B28 A29:P128 A129 D129:P129 A130:P136 A137:F137 K137:P137 A138:P154 A155 D155:P155 A156:P157 A158 C158 F158">
    <cfRule type="expression" dxfId="7" priority="2">
      <formula>#REF!="No"</formula>
    </cfRule>
  </conditionalFormatting>
  <conditionalFormatting sqref="K158:P158">
    <cfRule type="cellIs" dxfId="6" priority="1" operator="lessThan">
      <formula>-0.99</formula>
    </cfRule>
  </conditionalFormatting>
  <pageMargins left="0.7" right="0.7" top="0.75" bottom="0.75" header="0.3" footer="0.3"/>
  <pageSetup scale="59" fitToHeight="0" orientation="portrait" verticalDpi="0"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Worksheet!$A$61:$A$67</xm:f>
          </x14:formula1>
          <xm:sqref>C33:C52</xm:sqref>
        </x14:dataValidation>
        <x14:dataValidation type="list" allowBlank="1" showInputMessage="1" showErrorMessage="1" xr:uid="{00000000-0002-0000-0200-000001000000}">
          <x14:formula1>
            <xm:f>Worksheet!$C$162:$C$163</xm:f>
          </x14:formula1>
          <xm:sqref>D31:H31</xm:sqref>
        </x14:dataValidation>
        <x14:dataValidation type="list" allowBlank="1" showInputMessage="1" showErrorMessage="1" xr:uid="{00000000-0002-0000-0200-000002000000}">
          <x14:formula1>
            <xm:f>Worksheet!$D$20:$D$25</xm:f>
          </x14:formula1>
          <xm:sqref>J9:J28 J33</xm:sqref>
        </x14:dataValidation>
        <x14:dataValidation type="list" showInputMessage="1" showErrorMessage="1" xr:uid="{00000000-0002-0000-0200-000003000000}">
          <x14:formula1>
            <xm:f>Worksheet!$C$20:$C$21</xm:f>
          </x14:formula1>
          <xm:sqref>I9:I28</xm:sqref>
        </x14:dataValidation>
        <x14:dataValidation type="list" allowBlank="1" showInputMessage="1" showErrorMessage="1" xr:uid="{00000000-0002-0000-0200-000004000000}">
          <x14:formula1>
            <xm:f>Worksheet!$F$20:$F$21</xm:f>
          </x14:formula1>
          <xm:sqref>J64:J78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66CCFF"/>
    <pageSetUpPr fitToPage="1"/>
  </sheetPr>
  <dimension ref="A1:AH102"/>
  <sheetViews>
    <sheetView topLeftCell="A20" workbookViewId="0">
      <selection activeCell="B21" sqref="B21"/>
    </sheetView>
  </sheetViews>
  <sheetFormatPr defaultColWidth="9.140625" defaultRowHeight="12.75" x14ac:dyDescent="0.2"/>
  <cols>
    <col min="1" max="1" width="6.28515625" style="216" customWidth="1"/>
    <col min="2" max="2" width="23.42578125" style="216" customWidth="1"/>
    <col min="3" max="3" width="13.140625" style="216" customWidth="1"/>
    <col min="4" max="4" width="11.5703125" style="216" customWidth="1"/>
    <col min="5" max="5" width="11.7109375" style="216" customWidth="1"/>
    <col min="6" max="6" width="10.7109375" style="216" bestFit="1" customWidth="1"/>
    <col min="7" max="8" width="10.7109375" style="216" customWidth="1"/>
    <col min="9" max="9" width="9.5703125" style="216" bestFit="1" customWidth="1"/>
    <col min="10" max="10" width="9.85546875" style="216" customWidth="1"/>
    <col min="11" max="11" width="9.7109375" style="216" customWidth="1"/>
    <col min="12" max="13" width="8.28515625" style="216" customWidth="1"/>
    <col min="14" max="14" width="7.85546875" style="216" customWidth="1"/>
    <col min="15" max="17" width="9.140625" style="216"/>
    <col min="18" max="18" width="12.7109375" style="216" customWidth="1"/>
    <col min="19" max="16384" width="9.140625" style="216"/>
  </cols>
  <sheetData>
    <row r="1" spans="1:34" ht="15" x14ac:dyDescent="0.25">
      <c r="A1" s="865" t="s">
        <v>271</v>
      </c>
      <c r="B1" s="865"/>
      <c r="C1" s="866" t="str">
        <f>IF(Budget!C4="","",Budget!C4)</f>
        <v/>
      </c>
      <c r="D1" s="866"/>
      <c r="E1" s="866"/>
      <c r="F1" s="866"/>
      <c r="G1" s="866"/>
      <c r="I1" s="418" t="s">
        <v>227</v>
      </c>
      <c r="J1" s="857" t="s">
        <v>228</v>
      </c>
      <c r="K1" s="858"/>
      <c r="L1" s="858"/>
      <c r="M1" s="858"/>
      <c r="N1" s="858"/>
      <c r="O1" s="858"/>
    </row>
    <row r="2" spans="1:34" ht="13.5" thickBot="1" x14ac:dyDescent="0.25">
      <c r="A2" s="350"/>
      <c r="B2" s="350"/>
      <c r="C2" s="350"/>
      <c r="D2" s="350"/>
      <c r="E2" s="350"/>
      <c r="F2" s="350"/>
      <c r="G2" s="350"/>
      <c r="H2" s="350"/>
      <c r="I2" s="350"/>
      <c r="J2" s="858"/>
      <c r="K2" s="858"/>
      <c r="L2" s="858"/>
      <c r="M2" s="858"/>
      <c r="N2" s="858"/>
      <c r="O2" s="858"/>
    </row>
    <row r="3" spans="1:34" x14ac:dyDescent="0.2">
      <c r="A3" s="353"/>
      <c r="B3" s="354"/>
      <c r="C3" s="354"/>
      <c r="D3" s="355"/>
      <c r="E3" s="355" t="s">
        <v>229</v>
      </c>
      <c r="F3" s="355"/>
      <c r="G3" s="355"/>
      <c r="H3" s="355"/>
      <c r="I3" s="356"/>
      <c r="J3" s="858"/>
      <c r="K3" s="858"/>
      <c r="L3" s="858"/>
      <c r="M3" s="858"/>
      <c r="N3" s="858"/>
      <c r="O3" s="858"/>
    </row>
    <row r="4" spans="1:34" ht="13.5" thickBot="1" x14ac:dyDescent="0.25">
      <c r="A4" s="357"/>
      <c r="B4" s="358"/>
      <c r="C4" s="359"/>
      <c r="D4" s="360">
        <f>D6</f>
        <v>46204</v>
      </c>
      <c r="E4" s="361" t="s">
        <v>230</v>
      </c>
      <c r="F4" s="360">
        <f>IF(E7="",D7,IF(F7="",E7,IF(G7="",F7,IF(H7="",G7,H7))))</f>
        <v>48029</v>
      </c>
      <c r="G4" s="360"/>
      <c r="H4" s="360"/>
      <c r="I4" s="362"/>
      <c r="J4" s="858"/>
      <c r="K4" s="858"/>
      <c r="L4" s="858"/>
      <c r="M4" s="858"/>
      <c r="N4" s="858"/>
      <c r="O4" s="858"/>
    </row>
    <row r="5" spans="1:34" ht="13.5" thickBot="1" x14ac:dyDescent="0.25">
      <c r="A5" s="363"/>
      <c r="B5" s="363"/>
      <c r="C5" s="363"/>
      <c r="D5" s="363"/>
      <c r="E5" s="363"/>
      <c r="F5" s="363"/>
      <c r="G5" s="363"/>
      <c r="H5" s="363"/>
      <c r="I5" s="363"/>
      <c r="J5" s="858"/>
      <c r="K5" s="858"/>
      <c r="L5" s="858"/>
      <c r="M5" s="858"/>
      <c r="N5" s="858"/>
      <c r="O5" s="858"/>
    </row>
    <row r="6" spans="1:34" x14ac:dyDescent="0.2">
      <c r="A6" s="364"/>
      <c r="B6" s="365"/>
      <c r="C6" s="366" t="s">
        <v>231</v>
      </c>
      <c r="D6" s="367">
        <f>Budget!K5</f>
        <v>46204</v>
      </c>
      <c r="E6" s="367">
        <f>Budget!L5</f>
        <v>46569</v>
      </c>
      <c r="F6" s="367">
        <f>Budget!M5</f>
        <v>46935</v>
      </c>
      <c r="G6" s="367">
        <f>Budget!N5</f>
        <v>47300</v>
      </c>
      <c r="H6" s="367">
        <f>Budget!O5</f>
        <v>47665</v>
      </c>
      <c r="I6" s="368"/>
      <c r="J6" s="859"/>
      <c r="K6" s="860"/>
      <c r="L6" s="860"/>
      <c r="M6" s="860"/>
      <c r="N6" s="860"/>
      <c r="O6" s="860"/>
      <c r="P6" s="860"/>
      <c r="Q6" s="860"/>
      <c r="R6" s="860"/>
      <c r="S6" s="860"/>
      <c r="T6" s="860"/>
      <c r="U6" s="860"/>
      <c r="V6" s="860"/>
      <c r="W6" s="860"/>
      <c r="X6" s="860"/>
      <c r="Y6" s="860"/>
      <c r="Z6" s="860"/>
      <c r="AA6" s="860"/>
      <c r="AB6" s="860"/>
      <c r="AC6" s="860"/>
      <c r="AD6" s="860"/>
      <c r="AE6" s="860"/>
      <c r="AF6" s="860"/>
      <c r="AG6" s="860"/>
      <c r="AH6" s="860"/>
    </row>
    <row r="7" spans="1:34" x14ac:dyDescent="0.2">
      <c r="A7" s="369"/>
      <c r="B7" s="370"/>
      <c r="C7" s="371" t="s">
        <v>232</v>
      </c>
      <c r="D7" s="372">
        <f>Budget!K7</f>
        <v>46568</v>
      </c>
      <c r="E7" s="372">
        <f>Budget!L7</f>
        <v>46934</v>
      </c>
      <c r="F7" s="372">
        <f>Budget!M7</f>
        <v>47299</v>
      </c>
      <c r="G7" s="372">
        <f>Budget!N7</f>
        <v>47664</v>
      </c>
      <c r="H7" s="372">
        <f>Budget!O7</f>
        <v>48029</v>
      </c>
      <c r="I7" s="373"/>
    </row>
    <row r="8" spans="1:34" x14ac:dyDescent="0.2">
      <c r="A8" s="374" t="s">
        <v>233</v>
      </c>
      <c r="B8" s="375"/>
      <c r="C8" s="375"/>
      <c r="D8" s="376" t="s">
        <v>234</v>
      </c>
      <c r="E8" s="376" t="str">
        <f>IF(E7="","","Year 2")</f>
        <v>Year 2</v>
      </c>
      <c r="F8" s="376" t="str">
        <f>IF(F7="","","Year 3")</f>
        <v>Year 3</v>
      </c>
      <c r="G8" s="376" t="str">
        <f>IF(G7="","","Year 4")</f>
        <v>Year 4</v>
      </c>
      <c r="H8" s="376" t="str">
        <f>IF(H7="","","Year 5")</f>
        <v>Year 5</v>
      </c>
      <c r="I8" s="377" t="s">
        <v>235</v>
      </c>
      <c r="J8" s="861" t="s">
        <v>279</v>
      </c>
      <c r="K8" s="862"/>
      <c r="L8" s="862"/>
      <c r="M8" s="862"/>
      <c r="N8" s="862"/>
      <c r="O8" s="862"/>
      <c r="P8" s="862"/>
      <c r="Q8" s="862"/>
      <c r="R8" s="862"/>
    </row>
    <row r="9" spans="1:34" x14ac:dyDescent="0.2">
      <c r="A9" s="378" t="s">
        <v>274</v>
      </c>
      <c r="B9" s="379"/>
      <c r="C9" s="379"/>
      <c r="D9" s="380">
        <f>Budget!K56</f>
        <v>0</v>
      </c>
      <c r="E9" s="380">
        <f>Budget!L56</f>
        <v>0</v>
      </c>
      <c r="F9" s="380">
        <f>Budget!M56</f>
        <v>0</v>
      </c>
      <c r="G9" s="380">
        <f>Budget!N56</f>
        <v>0</v>
      </c>
      <c r="H9" s="380">
        <f>Budget!O56</f>
        <v>0</v>
      </c>
      <c r="I9" s="381">
        <f t="shared" ref="I9:I14" si="0">SUM(D9:H9)</f>
        <v>0</v>
      </c>
    </row>
    <row r="10" spans="1:34" x14ac:dyDescent="0.2">
      <c r="A10" s="378" t="s">
        <v>236</v>
      </c>
      <c r="B10" s="379"/>
      <c r="C10" s="379"/>
      <c r="D10" s="380">
        <f>Budget!K83</f>
        <v>0</v>
      </c>
      <c r="E10" s="380">
        <f>Budget!L83</f>
        <v>0</v>
      </c>
      <c r="F10" s="380">
        <f>Budget!M83</f>
        <v>0</v>
      </c>
      <c r="G10" s="380">
        <f>Budget!N83</f>
        <v>0</v>
      </c>
      <c r="H10" s="380">
        <f>Budget!O83</f>
        <v>0</v>
      </c>
      <c r="I10" s="381">
        <f t="shared" si="0"/>
        <v>0</v>
      </c>
    </row>
    <row r="11" spans="1:34" x14ac:dyDescent="0.2">
      <c r="A11" s="378" t="s">
        <v>237</v>
      </c>
      <c r="B11" s="379"/>
      <c r="C11" s="379"/>
      <c r="D11" s="380">
        <f>Budget!K108</f>
        <v>0</v>
      </c>
      <c r="E11" s="380">
        <f>Budget!L108</f>
        <v>0</v>
      </c>
      <c r="F11" s="380">
        <f>Budget!M108</f>
        <v>0</v>
      </c>
      <c r="G11" s="380">
        <f>Budget!N108</f>
        <v>0</v>
      </c>
      <c r="H11" s="380">
        <f>Budget!O108</f>
        <v>0</v>
      </c>
      <c r="I11" s="381">
        <f t="shared" si="0"/>
        <v>0</v>
      </c>
    </row>
    <row r="12" spans="1:34" x14ac:dyDescent="0.2">
      <c r="A12" s="378" t="s">
        <v>238</v>
      </c>
      <c r="B12" s="379"/>
      <c r="C12" s="379"/>
      <c r="D12" s="380">
        <f>Budget!K63</f>
        <v>0</v>
      </c>
      <c r="E12" s="380">
        <f>Budget!L63</f>
        <v>0</v>
      </c>
      <c r="F12" s="380">
        <f>Budget!M63</f>
        <v>0</v>
      </c>
      <c r="G12" s="380">
        <f>Budget!N63</f>
        <v>0</v>
      </c>
      <c r="H12" s="380">
        <f>Budget!O63</f>
        <v>0</v>
      </c>
      <c r="I12" s="381">
        <f t="shared" si="0"/>
        <v>0</v>
      </c>
    </row>
    <row r="13" spans="1:34" ht="15" customHeight="1" x14ac:dyDescent="0.2">
      <c r="A13" s="378" t="s">
        <v>239</v>
      </c>
      <c r="B13" s="379"/>
      <c r="C13" s="379"/>
      <c r="D13" s="380">
        <f>Budget!K153</f>
        <v>0</v>
      </c>
      <c r="E13" s="380">
        <f>Budget!L153</f>
        <v>0</v>
      </c>
      <c r="F13" s="380">
        <f>Budget!M153</f>
        <v>0</v>
      </c>
      <c r="G13" s="380">
        <f>Budget!N153</f>
        <v>0</v>
      </c>
      <c r="H13" s="380">
        <f>Budget!O153</f>
        <v>0</v>
      </c>
      <c r="I13" s="381">
        <f t="shared" si="0"/>
        <v>0</v>
      </c>
      <c r="K13" s="351"/>
      <c r="L13" s="351"/>
      <c r="M13" s="351"/>
      <c r="N13" s="351"/>
      <c r="O13" s="351"/>
    </row>
    <row r="14" spans="1:34" ht="15.75" customHeight="1" x14ac:dyDescent="0.2">
      <c r="A14" s="378" t="s">
        <v>240</v>
      </c>
      <c r="B14" s="382"/>
      <c r="C14" s="382"/>
      <c r="D14" s="380">
        <f>Budget!K145</f>
        <v>0</v>
      </c>
      <c r="E14" s="380">
        <f>Budget!L145</f>
        <v>0</v>
      </c>
      <c r="F14" s="380">
        <f>Budget!M145</f>
        <v>0</v>
      </c>
      <c r="G14" s="380">
        <f>Budget!N145</f>
        <v>0</v>
      </c>
      <c r="H14" s="380">
        <f>Budget!O145</f>
        <v>0</v>
      </c>
      <c r="I14" s="381">
        <f t="shared" si="0"/>
        <v>0</v>
      </c>
      <c r="J14" s="863" t="s">
        <v>241</v>
      </c>
      <c r="K14" s="665"/>
      <c r="L14" s="665"/>
      <c r="M14" s="665"/>
      <c r="N14" s="665"/>
      <c r="O14" s="665"/>
    </row>
    <row r="15" spans="1:34" x14ac:dyDescent="0.2">
      <c r="A15" s="378" t="s">
        <v>242</v>
      </c>
      <c r="B15" s="382"/>
      <c r="C15" s="411"/>
      <c r="D15" s="380"/>
      <c r="E15" s="380"/>
      <c r="F15" s="380"/>
      <c r="G15" s="380"/>
      <c r="H15" s="380"/>
      <c r="I15" s="381"/>
      <c r="J15" s="863"/>
      <c r="K15" s="665"/>
      <c r="L15" s="665"/>
      <c r="M15" s="665"/>
      <c r="N15" s="665"/>
      <c r="O15" s="665"/>
    </row>
    <row r="16" spans="1:34" x14ac:dyDescent="0.2">
      <c r="A16" s="378"/>
      <c r="B16" s="379" t="str">
        <f>Budget!B111</f>
        <v>GAEL</v>
      </c>
      <c r="C16" s="383"/>
      <c r="D16" s="380">
        <f>Budget!K111</f>
        <v>0</v>
      </c>
      <c r="E16" s="380">
        <f>Budget!L111</f>
        <v>0</v>
      </c>
      <c r="F16" s="380">
        <f>Budget!M111</f>
        <v>0</v>
      </c>
      <c r="G16" s="380">
        <f>Budget!N111</f>
        <v>0</v>
      </c>
      <c r="H16" s="380">
        <f>Budget!O111</f>
        <v>0</v>
      </c>
      <c r="I16" s="381">
        <f>SUM(D16:H16)</f>
        <v>0</v>
      </c>
      <c r="J16" s="863"/>
      <c r="K16" s="665"/>
      <c r="L16" s="665"/>
      <c r="M16" s="665"/>
      <c r="N16" s="665"/>
      <c r="O16" s="665"/>
    </row>
    <row r="17" spans="1:9" x14ac:dyDescent="0.2">
      <c r="A17" s="378"/>
      <c r="B17" s="379" t="str">
        <f>Budget!B112</f>
        <v xml:space="preserve"> </v>
      </c>
      <c r="C17" s="383"/>
      <c r="D17" s="380">
        <f>Budget!K112</f>
        <v>0</v>
      </c>
      <c r="E17" s="380">
        <f>Budget!L112</f>
        <v>0</v>
      </c>
      <c r="F17" s="380">
        <f>Budget!M112</f>
        <v>0</v>
      </c>
      <c r="G17" s="380">
        <f>Budget!N112</f>
        <v>0</v>
      </c>
      <c r="H17" s="380">
        <f>Budget!O112</f>
        <v>0</v>
      </c>
      <c r="I17" s="381">
        <f t="shared" ref="I17:I20" si="1">SUM(D17:H17)</f>
        <v>0</v>
      </c>
    </row>
    <row r="18" spans="1:9" x14ac:dyDescent="0.2">
      <c r="A18" s="378"/>
      <c r="B18" s="379" t="str">
        <f>Budget!B113</f>
        <v xml:space="preserve"> </v>
      </c>
      <c r="C18" s="383"/>
      <c r="D18" s="380">
        <f>Budget!K113</f>
        <v>0</v>
      </c>
      <c r="E18" s="380">
        <f>Budget!L113</f>
        <v>0</v>
      </c>
      <c r="F18" s="380">
        <f>Budget!M113</f>
        <v>0</v>
      </c>
      <c r="G18" s="380">
        <f>Budget!N113</f>
        <v>0</v>
      </c>
      <c r="H18" s="380">
        <f>Budget!O113</f>
        <v>0</v>
      </c>
      <c r="I18" s="381">
        <f t="shared" si="1"/>
        <v>0</v>
      </c>
    </row>
    <row r="19" spans="1:9" x14ac:dyDescent="0.2">
      <c r="A19" s="378"/>
      <c r="B19" s="379" t="str">
        <f>Budget!B114</f>
        <v xml:space="preserve"> </v>
      </c>
      <c r="C19" s="383"/>
      <c r="D19" s="380">
        <f>Budget!K114</f>
        <v>0</v>
      </c>
      <c r="E19" s="380">
        <f>Budget!L114</f>
        <v>0</v>
      </c>
      <c r="F19" s="380">
        <f>Budget!M114</f>
        <v>0</v>
      </c>
      <c r="G19" s="380">
        <f>Budget!N114</f>
        <v>0</v>
      </c>
      <c r="H19" s="380">
        <f>Budget!O114</f>
        <v>0</v>
      </c>
      <c r="I19" s="381">
        <f t="shared" si="1"/>
        <v>0</v>
      </c>
    </row>
    <row r="20" spans="1:9" ht="12.75" customHeight="1" x14ac:dyDescent="0.2">
      <c r="A20" s="378"/>
      <c r="B20" s="379" t="str">
        <f>Budget!B115</f>
        <v xml:space="preserve"> </v>
      </c>
      <c r="C20" s="383"/>
      <c r="D20" s="380">
        <f>Budget!K115</f>
        <v>0</v>
      </c>
      <c r="E20" s="380">
        <f>Budget!L115</f>
        <v>0</v>
      </c>
      <c r="F20" s="380">
        <f>Budget!M115</f>
        <v>0</v>
      </c>
      <c r="G20" s="380">
        <f>Budget!N115</f>
        <v>0</v>
      </c>
      <c r="H20" s="380">
        <f>Budget!O115</f>
        <v>0</v>
      </c>
      <c r="I20" s="381">
        <f t="shared" si="1"/>
        <v>0</v>
      </c>
    </row>
    <row r="21" spans="1:9" ht="12.75" customHeight="1" x14ac:dyDescent="0.2">
      <c r="A21" s="378"/>
      <c r="B21" s="379" t="str">
        <f>Budget!B116</f>
        <v xml:space="preserve">  </v>
      </c>
      <c r="C21" s="383"/>
      <c r="D21" s="380">
        <f>Budget!K116</f>
        <v>0</v>
      </c>
      <c r="E21" s="380">
        <f>Budget!L116</f>
        <v>0</v>
      </c>
      <c r="F21" s="380">
        <f>Budget!M116</f>
        <v>0</v>
      </c>
      <c r="G21" s="380">
        <f>Budget!N116</f>
        <v>0</v>
      </c>
      <c r="H21" s="380">
        <f>Budget!O116</f>
        <v>0</v>
      </c>
      <c r="I21" s="381">
        <f>SUM(D21:H21)</f>
        <v>0</v>
      </c>
    </row>
    <row r="22" spans="1:9" ht="12.75" customHeight="1" x14ac:dyDescent="0.2">
      <c r="A22" s="378"/>
      <c r="B22" s="379" t="str">
        <f>Budget!B117</f>
        <v xml:space="preserve">  </v>
      </c>
      <c r="C22" s="385"/>
      <c r="D22" s="380">
        <f>Budget!K117</f>
        <v>0</v>
      </c>
      <c r="E22" s="380">
        <f>Budget!L117</f>
        <v>0</v>
      </c>
      <c r="F22" s="380">
        <f>Budget!M117</f>
        <v>0</v>
      </c>
      <c r="G22" s="380">
        <f>Budget!N117</f>
        <v>0</v>
      </c>
      <c r="H22" s="380">
        <f>Budget!O117</f>
        <v>0</v>
      </c>
      <c r="I22" s="381">
        <f t="shared" ref="I22:I30" si="2">SUM(D22:H22)</f>
        <v>0</v>
      </c>
    </row>
    <row r="23" spans="1:9" ht="12.75" customHeight="1" x14ac:dyDescent="0.2">
      <c r="A23" s="378"/>
      <c r="B23" s="379" t="str">
        <f>Budget!B118</f>
        <v xml:space="preserve">  </v>
      </c>
      <c r="C23" s="385"/>
      <c r="D23" s="380">
        <f>Budget!K118</f>
        <v>0</v>
      </c>
      <c r="E23" s="380">
        <f>Budget!L118</f>
        <v>0</v>
      </c>
      <c r="F23" s="380">
        <f>Budget!M118</f>
        <v>0</v>
      </c>
      <c r="G23" s="380">
        <f>Budget!N118</f>
        <v>0</v>
      </c>
      <c r="H23" s="380">
        <f>Budget!O118</f>
        <v>0</v>
      </c>
      <c r="I23" s="381">
        <f t="shared" si="2"/>
        <v>0</v>
      </c>
    </row>
    <row r="24" spans="1:9" ht="12.75" customHeight="1" x14ac:dyDescent="0.2">
      <c r="A24" s="378"/>
      <c r="B24" s="379" t="str">
        <f>Budget!B119</f>
        <v xml:space="preserve">  </v>
      </c>
      <c r="C24" s="385"/>
      <c r="D24" s="380">
        <f>Budget!K119</f>
        <v>0</v>
      </c>
      <c r="E24" s="380">
        <f>Budget!L119</f>
        <v>0</v>
      </c>
      <c r="F24" s="380">
        <f>Budget!M119</f>
        <v>0</v>
      </c>
      <c r="G24" s="380">
        <f>Budget!N119</f>
        <v>0</v>
      </c>
      <c r="H24" s="380">
        <f>Budget!O119</f>
        <v>0</v>
      </c>
      <c r="I24" s="381">
        <f t="shared" si="2"/>
        <v>0</v>
      </c>
    </row>
    <row r="25" spans="1:9" ht="12.75" customHeight="1" x14ac:dyDescent="0.2">
      <c r="A25" s="378"/>
      <c r="B25" s="379" t="str">
        <f>Budget!B120</f>
        <v xml:space="preserve">  </v>
      </c>
      <c r="C25" s="385"/>
      <c r="D25" s="380">
        <f>Budget!K120</f>
        <v>0</v>
      </c>
      <c r="E25" s="380">
        <f>Budget!L120</f>
        <v>0</v>
      </c>
      <c r="F25" s="380">
        <f>Budget!M120</f>
        <v>0</v>
      </c>
      <c r="G25" s="380">
        <f>Budget!N120</f>
        <v>0</v>
      </c>
      <c r="H25" s="380">
        <f>Budget!O120</f>
        <v>0</v>
      </c>
      <c r="I25" s="381">
        <f t="shared" si="2"/>
        <v>0</v>
      </c>
    </row>
    <row r="26" spans="1:9" ht="12.75" customHeight="1" x14ac:dyDescent="0.2">
      <c r="A26" s="378"/>
      <c r="B26" s="379" t="str">
        <f>Budget!B121</f>
        <v xml:space="preserve">  </v>
      </c>
      <c r="C26" s="385"/>
      <c r="D26" s="380">
        <f>Budget!K121</f>
        <v>0</v>
      </c>
      <c r="E26" s="380">
        <f>Budget!L121</f>
        <v>0</v>
      </c>
      <c r="F26" s="380">
        <f>Budget!M121</f>
        <v>0</v>
      </c>
      <c r="G26" s="380">
        <f>Budget!N121</f>
        <v>0</v>
      </c>
      <c r="H26" s="380">
        <f>Budget!O121</f>
        <v>0</v>
      </c>
      <c r="I26" s="381">
        <f t="shared" si="2"/>
        <v>0</v>
      </c>
    </row>
    <row r="27" spans="1:9" ht="12.75" customHeight="1" x14ac:dyDescent="0.2">
      <c r="A27" s="378"/>
      <c r="B27" s="379" t="str">
        <f>Budget!B122</f>
        <v xml:space="preserve">  </v>
      </c>
      <c r="C27" s="385"/>
      <c r="D27" s="380">
        <f>Budget!K122</f>
        <v>0</v>
      </c>
      <c r="E27" s="380">
        <f>Budget!L122</f>
        <v>0</v>
      </c>
      <c r="F27" s="380">
        <f>Budget!M122</f>
        <v>0</v>
      </c>
      <c r="G27" s="380">
        <f>Budget!N122</f>
        <v>0</v>
      </c>
      <c r="H27" s="380">
        <f>Budget!O122</f>
        <v>0</v>
      </c>
      <c r="I27" s="381">
        <f t="shared" si="2"/>
        <v>0</v>
      </c>
    </row>
    <row r="28" spans="1:9" ht="12.75" customHeight="1" x14ac:dyDescent="0.2">
      <c r="A28" s="378"/>
      <c r="B28" s="379" t="str">
        <f>Budget!B123</f>
        <v xml:space="preserve">  </v>
      </c>
      <c r="C28" s="385"/>
      <c r="D28" s="380">
        <f>Budget!K123</f>
        <v>0</v>
      </c>
      <c r="E28" s="380">
        <f>Budget!L123</f>
        <v>0</v>
      </c>
      <c r="F28" s="380">
        <f>Budget!M123</f>
        <v>0</v>
      </c>
      <c r="G28" s="380">
        <f>Budget!N123</f>
        <v>0</v>
      </c>
      <c r="H28" s="380">
        <f>Budget!O123</f>
        <v>0</v>
      </c>
      <c r="I28" s="381">
        <f t="shared" si="2"/>
        <v>0</v>
      </c>
    </row>
    <row r="29" spans="1:9" ht="12.75" customHeight="1" x14ac:dyDescent="0.2">
      <c r="A29" s="378"/>
      <c r="B29" s="379" t="str">
        <f>Budget!B124</f>
        <v xml:space="preserve">  </v>
      </c>
      <c r="C29" s="385"/>
      <c r="D29" s="380">
        <f>Budget!K124</f>
        <v>0</v>
      </c>
      <c r="E29" s="380">
        <f>Budget!L124</f>
        <v>0</v>
      </c>
      <c r="F29" s="380">
        <f>Budget!M124</f>
        <v>0</v>
      </c>
      <c r="G29" s="380">
        <f>Budget!N124</f>
        <v>0</v>
      </c>
      <c r="H29" s="380">
        <f>Budget!O124</f>
        <v>0</v>
      </c>
      <c r="I29" s="381">
        <f t="shared" si="2"/>
        <v>0</v>
      </c>
    </row>
    <row r="30" spans="1:9" ht="12.75" customHeight="1" x14ac:dyDescent="0.2">
      <c r="A30" s="378"/>
      <c r="B30" s="379" t="str">
        <f>Budget!B125</f>
        <v xml:space="preserve">  </v>
      </c>
      <c r="C30" s="385"/>
      <c r="D30" s="380">
        <f>Budget!K125</f>
        <v>0</v>
      </c>
      <c r="E30" s="380">
        <f>Budget!L125</f>
        <v>0</v>
      </c>
      <c r="F30" s="380">
        <f>Budget!M125</f>
        <v>0</v>
      </c>
      <c r="G30" s="380">
        <f>Budget!N125</f>
        <v>0</v>
      </c>
      <c r="H30" s="380">
        <f>Budget!O125</f>
        <v>0</v>
      </c>
      <c r="I30" s="381">
        <f t="shared" si="2"/>
        <v>0</v>
      </c>
    </row>
    <row r="31" spans="1:9" ht="12.75" customHeight="1" x14ac:dyDescent="0.2">
      <c r="A31" s="378" t="s">
        <v>243</v>
      </c>
      <c r="B31" s="384"/>
      <c r="C31" s="385"/>
      <c r="D31" s="446"/>
      <c r="E31" s="446"/>
      <c r="F31" s="446"/>
      <c r="G31" s="446"/>
      <c r="H31" s="380"/>
      <c r="I31" s="381"/>
    </row>
    <row r="32" spans="1:9" ht="12.75" customHeight="1" x14ac:dyDescent="0.2">
      <c r="A32" s="386"/>
      <c r="B32" s="379" t="str">
        <f>Budget!B156</f>
        <v>Off-Campus Rent</v>
      </c>
      <c r="C32" s="385"/>
      <c r="D32" s="446">
        <f>Budget!K156</f>
        <v>0</v>
      </c>
      <c r="E32" s="446">
        <f>Budget!L156</f>
        <v>0</v>
      </c>
      <c r="F32" s="446">
        <f>Budget!M156</f>
        <v>0</v>
      </c>
      <c r="G32" s="446">
        <f>Budget!N156</f>
        <v>0</v>
      </c>
      <c r="H32" s="446">
        <f>Budget!O156</f>
        <v>0</v>
      </c>
      <c r="I32" s="381">
        <f>SUM(D32:H32)</f>
        <v>0</v>
      </c>
    </row>
    <row r="33" spans="1:17" ht="12.75" customHeight="1" x14ac:dyDescent="0.2">
      <c r="A33" s="386"/>
      <c r="B33" s="379" t="str">
        <f>Budget!B157</f>
        <v>Tuition Remission (unallowable)</v>
      </c>
      <c r="C33" s="385"/>
      <c r="D33" s="446">
        <f>Budget!K157</f>
        <v>0</v>
      </c>
      <c r="E33" s="446">
        <f>Budget!L157</f>
        <v>0</v>
      </c>
      <c r="F33" s="446">
        <f>Budget!M157</f>
        <v>0</v>
      </c>
      <c r="G33" s="446">
        <f>Budget!N157</f>
        <v>0</v>
      </c>
      <c r="H33" s="446">
        <f>Budget!O157</f>
        <v>0</v>
      </c>
      <c r="I33" s="381">
        <f>SUM(D33:H33)</f>
        <v>0</v>
      </c>
    </row>
    <row r="34" spans="1:17" ht="12.75" customHeight="1" x14ac:dyDescent="0.2">
      <c r="A34" s="386"/>
      <c r="B34" s="379" t="str">
        <f>Budget!B158</f>
        <v xml:space="preserve"> </v>
      </c>
      <c r="C34" s="385"/>
      <c r="D34" s="446">
        <f>Budget!K158</f>
        <v>0</v>
      </c>
      <c r="E34" s="446">
        <f>Budget!L158</f>
        <v>0</v>
      </c>
      <c r="F34" s="446">
        <f>Budget!M158</f>
        <v>0</v>
      </c>
      <c r="G34" s="446">
        <f>Budget!N158</f>
        <v>0</v>
      </c>
      <c r="H34" s="446">
        <f>Budget!O158</f>
        <v>0</v>
      </c>
      <c r="I34" s="381">
        <f>SUM(D34:H34)</f>
        <v>0</v>
      </c>
    </row>
    <row r="35" spans="1:17" ht="12.75" customHeight="1" x14ac:dyDescent="0.2">
      <c r="A35" s="386"/>
      <c r="B35" s="379" t="str">
        <f>Budget!B159</f>
        <v xml:space="preserve"> </v>
      </c>
      <c r="C35" s="385"/>
      <c r="D35" s="446">
        <f>Budget!K159</f>
        <v>0</v>
      </c>
      <c r="E35" s="446">
        <f>Budget!L159</f>
        <v>0</v>
      </c>
      <c r="F35" s="446">
        <f>Budget!M159</f>
        <v>0</v>
      </c>
      <c r="G35" s="446">
        <f>Budget!N159</f>
        <v>0</v>
      </c>
      <c r="H35" s="446">
        <f>Budget!O159</f>
        <v>0</v>
      </c>
      <c r="I35" s="381">
        <f>SUM(D35:H35)</f>
        <v>0</v>
      </c>
    </row>
    <row r="36" spans="1:17" ht="12.75" customHeight="1" x14ac:dyDescent="0.2">
      <c r="A36" s="386"/>
      <c r="B36" s="379" t="str">
        <f>Budget!B160</f>
        <v xml:space="preserve"> </v>
      </c>
      <c r="C36" s="385"/>
      <c r="D36" s="446">
        <f>Budget!K160</f>
        <v>0</v>
      </c>
      <c r="E36" s="446">
        <f>Budget!L160</f>
        <v>0</v>
      </c>
      <c r="F36" s="446">
        <f>Budget!M160</f>
        <v>0</v>
      </c>
      <c r="G36" s="446">
        <f>Budget!N160</f>
        <v>0</v>
      </c>
      <c r="H36" s="446">
        <f>Budget!O160</f>
        <v>0</v>
      </c>
      <c r="I36" s="381">
        <f t="shared" ref="I36:I41" si="3">SUM(D36:H36)</f>
        <v>0</v>
      </c>
    </row>
    <row r="37" spans="1:17" ht="12.75" customHeight="1" x14ac:dyDescent="0.2">
      <c r="A37" s="386"/>
      <c r="B37" s="379" t="str">
        <f>Budget!B161</f>
        <v xml:space="preserve"> </v>
      </c>
      <c r="C37" s="385"/>
      <c r="D37" s="446">
        <f>Budget!K161</f>
        <v>0</v>
      </c>
      <c r="E37" s="446">
        <f>Budget!L161</f>
        <v>0</v>
      </c>
      <c r="F37" s="446">
        <f>Budget!M161</f>
        <v>0</v>
      </c>
      <c r="G37" s="446">
        <f>Budget!N161</f>
        <v>0</v>
      </c>
      <c r="H37" s="446">
        <f>Budget!O161</f>
        <v>0</v>
      </c>
      <c r="I37" s="381">
        <f t="shared" si="3"/>
        <v>0</v>
      </c>
    </row>
    <row r="38" spans="1:17" ht="12.75" customHeight="1" x14ac:dyDescent="0.2">
      <c r="A38" s="386"/>
      <c r="B38" s="379" t="str">
        <f>Budget!B162</f>
        <v xml:space="preserve"> </v>
      </c>
      <c r="C38" s="385"/>
      <c r="D38" s="446">
        <f>Budget!K162</f>
        <v>0</v>
      </c>
      <c r="E38" s="446">
        <f>Budget!L162</f>
        <v>0</v>
      </c>
      <c r="F38" s="446">
        <f>Budget!M162</f>
        <v>0</v>
      </c>
      <c r="G38" s="446">
        <f>Budget!N162</f>
        <v>0</v>
      </c>
      <c r="H38" s="446">
        <f>Budget!O162</f>
        <v>0</v>
      </c>
      <c r="I38" s="381">
        <f>SUM(D38:H38)</f>
        <v>0</v>
      </c>
    </row>
    <row r="39" spans="1:17" ht="12.75" customHeight="1" x14ac:dyDescent="0.2">
      <c r="A39" s="386"/>
      <c r="B39" s="379" t="str">
        <f>Budget!B163</f>
        <v xml:space="preserve"> </v>
      </c>
      <c r="C39" s="385"/>
      <c r="D39" s="446">
        <f>Budget!K163</f>
        <v>0</v>
      </c>
      <c r="E39" s="446">
        <f>Budget!L163</f>
        <v>0</v>
      </c>
      <c r="F39" s="446">
        <f>Budget!M163</f>
        <v>0</v>
      </c>
      <c r="G39" s="446">
        <f>Budget!N163</f>
        <v>0</v>
      </c>
      <c r="H39" s="446">
        <f>Budget!O163</f>
        <v>0</v>
      </c>
      <c r="I39" s="381">
        <f t="shared" si="3"/>
        <v>0</v>
      </c>
    </row>
    <row r="40" spans="1:17" ht="12.75" customHeight="1" x14ac:dyDescent="0.2">
      <c r="A40" s="386"/>
      <c r="B40" s="379" t="str">
        <f>Budget!B164</f>
        <v xml:space="preserve"> </v>
      </c>
      <c r="C40" s="385"/>
      <c r="D40" s="446">
        <f>Budget!K164</f>
        <v>0</v>
      </c>
      <c r="E40" s="446">
        <f>Budget!L164</f>
        <v>0</v>
      </c>
      <c r="F40" s="446">
        <f>Budget!M164</f>
        <v>0</v>
      </c>
      <c r="G40" s="446">
        <f>Budget!N164</f>
        <v>0</v>
      </c>
      <c r="H40" s="446">
        <f>Budget!O164</f>
        <v>0</v>
      </c>
      <c r="I40" s="381">
        <f t="shared" si="3"/>
        <v>0</v>
      </c>
    </row>
    <row r="41" spans="1:17" ht="12.75" customHeight="1" x14ac:dyDescent="0.2">
      <c r="A41" s="386"/>
      <c r="B41" s="444" t="s">
        <v>280</v>
      </c>
      <c r="C41" s="385"/>
      <c r="D41" s="446">
        <f>Budget!K90</f>
        <v>0</v>
      </c>
      <c r="E41" s="446">
        <f>Budget!L90</f>
        <v>0</v>
      </c>
      <c r="F41" s="446">
        <f>Budget!M90</f>
        <v>0</v>
      </c>
      <c r="G41" s="446">
        <f>Budget!N90</f>
        <v>0</v>
      </c>
      <c r="H41" s="446">
        <f>Budget!O90</f>
        <v>0</v>
      </c>
      <c r="I41" s="381">
        <f t="shared" si="3"/>
        <v>0</v>
      </c>
    </row>
    <row r="42" spans="1:17" ht="12.75" customHeight="1" thickBot="1" x14ac:dyDescent="0.25">
      <c r="A42" s="387" t="s">
        <v>244</v>
      </c>
      <c r="B42" s="388"/>
      <c r="C42" s="388"/>
      <c r="D42" s="447">
        <f>Budget!K167</f>
        <v>0</v>
      </c>
      <c r="E42" s="447">
        <f>Budget!L167</f>
        <v>0</v>
      </c>
      <c r="F42" s="447">
        <f>Budget!M167</f>
        <v>0</v>
      </c>
      <c r="G42" s="447">
        <f>Budget!N167</f>
        <v>0</v>
      </c>
      <c r="H42" s="447">
        <f>Budget!O167</f>
        <v>0</v>
      </c>
      <c r="I42" s="448">
        <f>SUM(D42:H42)</f>
        <v>0</v>
      </c>
      <c r="J42" s="864" t="str">
        <f>IF(I42=SUM(I9:I41),"","Total Direct Costs, F&amp;A Base, Indirect Costs, and Total Estimated Costs pull from the 'Budget' worksheet. If you are entering amounts directly on this worksheet you will need to adjust these formulas. You can also use the Blank Budget Form worksheet.")</f>
        <v/>
      </c>
      <c r="K42" s="864"/>
      <c r="L42" s="864"/>
      <c r="M42" s="864"/>
      <c r="N42" s="864"/>
      <c r="O42" s="864"/>
      <c r="P42" s="864"/>
      <c r="Q42" s="864"/>
    </row>
    <row r="43" spans="1:17" ht="12.75" customHeight="1" x14ac:dyDescent="0.2">
      <c r="A43" s="389" t="s">
        <v>245</v>
      </c>
      <c r="B43" s="390"/>
      <c r="C43" s="391"/>
      <c r="D43" s="449"/>
      <c r="E43" s="449"/>
      <c r="F43" s="449"/>
      <c r="G43" s="449"/>
      <c r="H43" s="449"/>
      <c r="I43" s="449" t="s">
        <v>246</v>
      </c>
      <c r="J43" s="864"/>
      <c r="K43" s="864"/>
      <c r="L43" s="864"/>
      <c r="M43" s="864"/>
      <c r="N43" s="864"/>
      <c r="O43" s="864"/>
      <c r="P43" s="864"/>
      <c r="Q43" s="864"/>
    </row>
    <row r="44" spans="1:17" ht="12.75" customHeight="1" x14ac:dyDescent="0.2">
      <c r="A44" s="867" t="str">
        <f>Budget!C170</f>
        <v>Research - Off Campus</v>
      </c>
      <c r="B44" s="868"/>
      <c r="C44" s="445" t="s">
        <v>247</v>
      </c>
      <c r="D44" s="380">
        <f>Budget!K170</f>
        <v>0</v>
      </c>
      <c r="E44" s="380">
        <f>Budget!L170</f>
        <v>0</v>
      </c>
      <c r="F44" s="380">
        <f>Budget!M170</f>
        <v>0</v>
      </c>
      <c r="G44" s="380">
        <f>Budget!N170</f>
        <v>0</v>
      </c>
      <c r="H44" s="380">
        <f>Budget!O170</f>
        <v>0</v>
      </c>
      <c r="I44" s="450">
        <f>SUM(D44:H44)</f>
        <v>0</v>
      </c>
      <c r="J44" s="864"/>
      <c r="K44" s="864"/>
      <c r="L44" s="864"/>
      <c r="M44" s="864"/>
      <c r="N44" s="864"/>
      <c r="O44" s="864"/>
      <c r="P44" s="864"/>
      <c r="Q44" s="864"/>
    </row>
    <row r="45" spans="1:17" ht="12.75" customHeight="1" x14ac:dyDescent="0.2">
      <c r="A45" s="525" t="str">
        <f>Budget!C171</f>
        <v>MTDC</v>
      </c>
      <c r="C45" s="392"/>
      <c r="D45" s="451">
        <f>IF(Budget!$H$173="Enter Rate:",Budget!$J$173,Budget!F172)</f>
        <v>0.26</v>
      </c>
      <c r="E45" s="451">
        <f>IF(Budget!$H$173="Enter Rate:",Budget!$J$173,Budget!G172)</f>
        <v>0.26</v>
      </c>
      <c r="F45" s="451">
        <f>IF(Budget!$H$173="Enter Rate:",Budget!$J$173,Budget!H172)</f>
        <v>0.26</v>
      </c>
      <c r="G45" s="451">
        <f>IF(Budget!$H$173="Enter Rate:",Budget!$J$173,Budget!I172)</f>
        <v>0.26</v>
      </c>
      <c r="H45" s="451">
        <f>IF(Budget!$H$173="Enter Rate:",Budget!$J$173,Budget!J172)</f>
        <v>0.26</v>
      </c>
      <c r="I45" s="452"/>
      <c r="J45" s="236"/>
    </row>
    <row r="46" spans="1:17" x14ac:dyDescent="0.2">
      <c r="A46" s="393" t="s">
        <v>245</v>
      </c>
      <c r="B46" s="394"/>
      <c r="D46" s="453">
        <f>IF(Budget!K172=0,Budget!K173,Budget!K172)</f>
        <v>0</v>
      </c>
      <c r="E46" s="453">
        <f>IF(Budget!L172=0,Budget!L173,Budget!L172)</f>
        <v>0</v>
      </c>
      <c r="F46" s="453">
        <f>IF(Budget!M172=0,Budget!M173,Budget!M172)</f>
        <v>0</v>
      </c>
      <c r="G46" s="453">
        <f>IF(Budget!N172=0,Budget!N173,Budget!N172)</f>
        <v>0</v>
      </c>
      <c r="H46" s="453">
        <f>IF(Budget!O172=0,Budget!O173,Budget!O172)</f>
        <v>0</v>
      </c>
      <c r="I46" s="453">
        <f>SUM(D46:H46)</f>
        <v>0</v>
      </c>
    </row>
    <row r="47" spans="1:17" ht="13.5" thickBot="1" x14ac:dyDescent="0.25">
      <c r="A47" s="387" t="s">
        <v>248</v>
      </c>
      <c r="B47" s="388"/>
      <c r="C47" s="388"/>
      <c r="D47" s="447">
        <f>Budget!K175</f>
        <v>0</v>
      </c>
      <c r="E47" s="447">
        <f>Budget!L175</f>
        <v>0</v>
      </c>
      <c r="F47" s="447">
        <f>Budget!M175</f>
        <v>0</v>
      </c>
      <c r="G47" s="447">
        <f>Budget!N175</f>
        <v>0</v>
      </c>
      <c r="H47" s="447">
        <f>Budget!O175</f>
        <v>0</v>
      </c>
      <c r="I47" s="448"/>
    </row>
    <row r="48" spans="1:17" ht="13.5" thickBot="1" x14ac:dyDescent="0.25">
      <c r="A48" s="869" t="s">
        <v>249</v>
      </c>
      <c r="B48" s="870"/>
      <c r="C48" s="871"/>
      <c r="D48" s="454"/>
      <c r="E48" s="454"/>
      <c r="F48" s="454"/>
      <c r="G48" s="455"/>
      <c r="H48" s="455"/>
      <c r="I48" s="456">
        <f>Budget!P175</f>
        <v>0</v>
      </c>
    </row>
    <row r="49" spans="1:9" ht="13.5" thickBot="1" x14ac:dyDescent="0.25">
      <c r="A49" s="395"/>
      <c r="B49" s="396"/>
      <c r="C49" s="396"/>
      <c r="D49" s="397"/>
      <c r="E49" s="397"/>
      <c r="F49" s="397"/>
      <c r="G49" s="397"/>
      <c r="H49" s="397"/>
      <c r="I49" s="398"/>
    </row>
    <row r="50" spans="1:9" ht="13.5" thickBot="1" x14ac:dyDescent="0.25">
      <c r="A50" s="399"/>
      <c r="B50" s="400"/>
      <c r="C50" s="400"/>
      <c r="D50" s="401"/>
      <c r="E50" s="401"/>
      <c r="F50" s="401"/>
      <c r="G50" s="401"/>
      <c r="H50" s="401"/>
      <c r="I50" s="402"/>
    </row>
    <row r="51" spans="1:9" x14ac:dyDescent="0.2">
      <c r="A51" s="403" t="s">
        <v>275</v>
      </c>
      <c r="B51" s="350"/>
      <c r="C51" s="350"/>
      <c r="D51" s="350"/>
      <c r="E51" s="350"/>
      <c r="F51" s="350"/>
      <c r="G51" s="350"/>
      <c r="H51" s="350"/>
      <c r="I51" s="350"/>
    </row>
    <row r="52" spans="1:9" x14ac:dyDescent="0.2">
      <c r="A52" s="404"/>
      <c r="B52" s="350"/>
      <c r="C52" s="350"/>
      <c r="D52" s="350"/>
      <c r="E52" s="350"/>
      <c r="F52" s="350"/>
      <c r="G52" s="350"/>
      <c r="H52" s="350"/>
      <c r="I52" s="350"/>
    </row>
    <row r="53" spans="1:9" ht="13.5" thickBot="1" x14ac:dyDescent="0.25">
      <c r="A53" s="403" t="s">
        <v>250</v>
      </c>
      <c r="B53" s="350"/>
      <c r="C53" s="350"/>
      <c r="D53" s="360">
        <f>D7+(3*365)+1</f>
        <v>47664</v>
      </c>
      <c r="E53" s="360">
        <f>IF(E7="","",E7+(3*365)+1)</f>
        <v>48030</v>
      </c>
      <c r="F53" s="360">
        <f>IF(F7="","",F7+(3*365)+1)</f>
        <v>48395</v>
      </c>
      <c r="G53" s="360">
        <f>IF(G7="","",G7+(3*365)+1)</f>
        <v>48760</v>
      </c>
      <c r="H53" s="360">
        <f>IF(H7="","",H7+(3*365)+1)</f>
        <v>49125</v>
      </c>
      <c r="I53" s="360"/>
    </row>
    <row r="54" spans="1:9" x14ac:dyDescent="0.2">
      <c r="A54" s="405" t="s">
        <v>251</v>
      </c>
      <c r="B54" s="350"/>
      <c r="C54" s="350"/>
      <c r="D54" s="406"/>
      <c r="E54" s="406"/>
      <c r="F54" s="406"/>
      <c r="G54" s="406"/>
      <c r="H54" s="406"/>
      <c r="I54" s="350"/>
    </row>
    <row r="55" spans="1:9" ht="21.75" customHeight="1" x14ac:dyDescent="0.2">
      <c r="A55" s="872" t="s">
        <v>252</v>
      </c>
      <c r="B55" s="872"/>
      <c r="C55" s="413" t="s">
        <v>253</v>
      </c>
      <c r="D55" s="407">
        <v>0.1</v>
      </c>
      <c r="E55" s="407"/>
      <c r="F55" s="407"/>
      <c r="G55" s="407"/>
      <c r="H55" s="407"/>
      <c r="I55" s="407"/>
    </row>
    <row r="56" spans="1:9" ht="14.25" customHeight="1" x14ac:dyDescent="0.2">
      <c r="A56" s="872"/>
      <c r="B56" s="872"/>
      <c r="C56" s="414"/>
      <c r="D56" s="415" t="s">
        <v>254</v>
      </c>
      <c r="E56" s="416"/>
      <c r="F56" s="416"/>
      <c r="G56" s="416"/>
      <c r="H56" s="416"/>
      <c r="I56" s="350"/>
    </row>
    <row r="57" spans="1:9" ht="21" customHeight="1" x14ac:dyDescent="0.2">
      <c r="A57" s="872"/>
      <c r="B57" s="872"/>
      <c r="C57" s="413" t="s">
        <v>255</v>
      </c>
      <c r="D57" s="408">
        <v>10000</v>
      </c>
      <c r="E57" s="408"/>
      <c r="F57" s="408"/>
      <c r="G57" s="408"/>
      <c r="H57" s="408"/>
      <c r="I57" s="407"/>
    </row>
    <row r="58" spans="1:9" x14ac:dyDescent="0.2">
      <c r="A58" s="350"/>
      <c r="B58" s="350"/>
      <c r="C58" s="350"/>
      <c r="D58" s="350"/>
      <c r="E58" s="350"/>
      <c r="F58" s="350"/>
      <c r="G58" s="350"/>
      <c r="H58" s="350"/>
      <c r="I58" s="350"/>
    </row>
    <row r="59" spans="1:9" x14ac:dyDescent="0.2">
      <c r="A59" s="409" t="s">
        <v>256</v>
      </c>
      <c r="B59" s="404"/>
      <c r="C59" s="404"/>
      <c r="D59" s="404"/>
      <c r="E59" s="404"/>
      <c r="F59" s="404"/>
      <c r="G59" s="404"/>
      <c r="H59" s="404"/>
      <c r="I59" s="404"/>
    </row>
    <row r="60" spans="1:9" x14ac:dyDescent="0.2">
      <c r="A60" s="410"/>
      <c r="B60" s="410" t="s">
        <v>285</v>
      </c>
      <c r="C60" s="410"/>
      <c r="D60" s="461">
        <f>Budget!K145-Budget!K130-Budget!K132-Budget!K134-Budget!K136-Budget!K138-Budget!K140-Budget!K142-Budget!K144</f>
        <v>0</v>
      </c>
      <c r="E60" s="461">
        <f>Budget!L145-Budget!L130-Budget!L132-Budget!L134-Budget!L136-Budget!L138-Budget!L140-Budget!L142-Budget!L144</f>
        <v>0</v>
      </c>
      <c r="F60" s="461">
        <f>Budget!M145-Budget!M130-Budget!M132-Budget!M134-Budget!M136-Budget!M138-Budget!M140-Budget!M142-Budget!M144</f>
        <v>0</v>
      </c>
      <c r="G60" s="461">
        <f>Budget!N145-Budget!N130-Budget!N132-Budget!N134-Budget!N136-Budget!N138-Budget!N140-Budget!N142-Budget!N144</f>
        <v>0</v>
      </c>
      <c r="H60" s="461">
        <f>Budget!O145-Budget!O130-Budget!O132-Budget!O134-Budget!O136-Budget!O138-Budget!O140-Budget!O142-Budget!O144</f>
        <v>0</v>
      </c>
      <c r="I60" s="461">
        <f>SUM(D60:H60)</f>
        <v>0</v>
      </c>
    </row>
    <row r="61" spans="1:9" x14ac:dyDescent="0.2">
      <c r="A61" s="410"/>
      <c r="B61" s="410" t="s">
        <v>258</v>
      </c>
      <c r="C61" s="410"/>
      <c r="D61" s="461">
        <f t="shared" ref="D61:I61" si="4">D12</f>
        <v>0</v>
      </c>
      <c r="E61" s="461">
        <f t="shared" si="4"/>
        <v>0</v>
      </c>
      <c r="F61" s="461">
        <f t="shared" si="4"/>
        <v>0</v>
      </c>
      <c r="G61" s="461">
        <f t="shared" si="4"/>
        <v>0</v>
      </c>
      <c r="H61" s="461">
        <f t="shared" si="4"/>
        <v>0</v>
      </c>
      <c r="I61" s="461">
        <f t="shared" si="4"/>
        <v>0</v>
      </c>
    </row>
    <row r="62" spans="1:9" x14ac:dyDescent="0.2">
      <c r="A62" s="410"/>
      <c r="B62" s="410" t="str">
        <f>B32</f>
        <v>Off-Campus Rent</v>
      </c>
      <c r="C62" s="410"/>
      <c r="D62" s="461">
        <f t="shared" ref="D62:I64" si="5">D32</f>
        <v>0</v>
      </c>
      <c r="E62" s="461">
        <f t="shared" si="5"/>
        <v>0</v>
      </c>
      <c r="F62" s="461">
        <f t="shared" si="5"/>
        <v>0</v>
      </c>
      <c r="G62" s="461">
        <f t="shared" si="5"/>
        <v>0</v>
      </c>
      <c r="H62" s="461">
        <f t="shared" si="5"/>
        <v>0</v>
      </c>
      <c r="I62" s="461">
        <f t="shared" si="5"/>
        <v>0</v>
      </c>
    </row>
    <row r="63" spans="1:9" x14ac:dyDescent="0.2">
      <c r="A63" s="410"/>
      <c r="B63" s="410" t="str">
        <f>B33</f>
        <v>Tuition Remission (unallowable)</v>
      </c>
      <c r="C63" s="410"/>
      <c r="D63" s="461">
        <f t="shared" si="5"/>
        <v>0</v>
      </c>
      <c r="E63" s="461">
        <f t="shared" si="5"/>
        <v>0</v>
      </c>
      <c r="F63" s="461">
        <f t="shared" si="5"/>
        <v>0</v>
      </c>
      <c r="G63" s="461">
        <f t="shared" si="5"/>
        <v>0</v>
      </c>
      <c r="H63" s="461">
        <f t="shared" si="5"/>
        <v>0</v>
      </c>
      <c r="I63" s="461">
        <f t="shared" si="5"/>
        <v>0</v>
      </c>
    </row>
    <row r="64" spans="1:9" hidden="1" x14ac:dyDescent="0.2">
      <c r="A64" s="410"/>
      <c r="B64" s="410" t="str">
        <f>B34</f>
        <v xml:space="preserve"> </v>
      </c>
      <c r="C64" s="410"/>
      <c r="D64" s="461">
        <f t="shared" si="5"/>
        <v>0</v>
      </c>
      <c r="E64" s="461">
        <f t="shared" si="5"/>
        <v>0</v>
      </c>
      <c r="F64" s="461">
        <f t="shared" si="5"/>
        <v>0</v>
      </c>
      <c r="G64" s="461">
        <f t="shared" si="5"/>
        <v>0</v>
      </c>
      <c r="H64" s="461">
        <f t="shared" si="5"/>
        <v>0</v>
      </c>
      <c r="I64" s="461">
        <f t="shared" si="5"/>
        <v>0</v>
      </c>
    </row>
    <row r="65" spans="1:15" hidden="1" x14ac:dyDescent="0.2">
      <c r="A65" s="410"/>
      <c r="B65" s="410" t="e">
        <f>#REF!</f>
        <v>#REF!</v>
      </c>
      <c r="C65" s="410"/>
      <c r="D65" s="461" t="e">
        <f>#REF!</f>
        <v>#REF!</v>
      </c>
      <c r="E65" s="461" t="e">
        <f>#REF!</f>
        <v>#REF!</v>
      </c>
      <c r="F65" s="461" t="e">
        <f>#REF!</f>
        <v>#REF!</v>
      </c>
      <c r="G65" s="461" t="e">
        <f>#REF!</f>
        <v>#REF!</v>
      </c>
      <c r="H65" s="461" t="e">
        <f>#REF!</f>
        <v>#REF!</v>
      </c>
      <c r="I65" s="461" t="e">
        <f>#REF!</f>
        <v>#REF!</v>
      </c>
    </row>
    <row r="66" spans="1:15" hidden="1" x14ac:dyDescent="0.2">
      <c r="A66" s="410"/>
      <c r="B66" s="410" t="str">
        <f t="shared" ref="B66:B72" si="6">B35</f>
        <v xml:space="preserve"> </v>
      </c>
      <c r="C66" s="410"/>
      <c r="D66" s="461">
        <f t="shared" ref="D66:I71" si="7">D35</f>
        <v>0</v>
      </c>
      <c r="E66" s="461">
        <f t="shared" si="7"/>
        <v>0</v>
      </c>
      <c r="F66" s="461">
        <f t="shared" si="7"/>
        <v>0</v>
      </c>
      <c r="G66" s="461">
        <f t="shared" si="7"/>
        <v>0</v>
      </c>
      <c r="H66" s="461">
        <f t="shared" si="7"/>
        <v>0</v>
      </c>
      <c r="I66" s="461">
        <f t="shared" si="7"/>
        <v>0</v>
      </c>
    </row>
    <row r="67" spans="1:15" hidden="1" x14ac:dyDescent="0.2">
      <c r="A67" s="410"/>
      <c r="B67" s="410" t="str">
        <f t="shared" si="6"/>
        <v xml:space="preserve"> </v>
      </c>
      <c r="C67" s="410"/>
      <c r="D67" s="461">
        <f t="shared" si="7"/>
        <v>0</v>
      </c>
      <c r="E67" s="461">
        <f t="shared" si="7"/>
        <v>0</v>
      </c>
      <c r="F67" s="461">
        <f t="shared" si="7"/>
        <v>0</v>
      </c>
      <c r="G67" s="461">
        <f t="shared" si="7"/>
        <v>0</v>
      </c>
      <c r="H67" s="461">
        <f t="shared" si="7"/>
        <v>0</v>
      </c>
      <c r="I67" s="461">
        <f t="shared" si="7"/>
        <v>0</v>
      </c>
    </row>
    <row r="68" spans="1:15" hidden="1" x14ac:dyDescent="0.2">
      <c r="A68" s="410"/>
      <c r="B68" s="410" t="str">
        <f t="shared" si="6"/>
        <v xml:space="preserve"> </v>
      </c>
      <c r="C68" s="410"/>
      <c r="D68" s="461">
        <f t="shared" si="7"/>
        <v>0</v>
      </c>
      <c r="E68" s="461">
        <f t="shared" si="7"/>
        <v>0</v>
      </c>
      <c r="F68" s="461">
        <f t="shared" si="7"/>
        <v>0</v>
      </c>
      <c r="G68" s="461">
        <f t="shared" si="7"/>
        <v>0</v>
      </c>
      <c r="H68" s="461">
        <f t="shared" si="7"/>
        <v>0</v>
      </c>
      <c r="I68" s="461">
        <f t="shared" si="7"/>
        <v>0</v>
      </c>
    </row>
    <row r="69" spans="1:15" hidden="1" x14ac:dyDescent="0.2">
      <c r="A69" s="410"/>
      <c r="B69" s="410" t="str">
        <f t="shared" si="6"/>
        <v xml:space="preserve"> </v>
      </c>
      <c r="C69" s="410"/>
      <c r="D69" s="461">
        <f t="shared" si="7"/>
        <v>0</v>
      </c>
      <c r="E69" s="461">
        <f t="shared" si="7"/>
        <v>0</v>
      </c>
      <c r="F69" s="461">
        <f t="shared" si="7"/>
        <v>0</v>
      </c>
      <c r="G69" s="461">
        <f t="shared" si="7"/>
        <v>0</v>
      </c>
      <c r="H69" s="461">
        <f t="shared" si="7"/>
        <v>0</v>
      </c>
      <c r="I69" s="461">
        <f t="shared" si="7"/>
        <v>0</v>
      </c>
    </row>
    <row r="70" spans="1:15" hidden="1" x14ac:dyDescent="0.2">
      <c r="A70" s="410"/>
      <c r="B70" s="410" t="str">
        <f t="shared" si="6"/>
        <v xml:space="preserve"> </v>
      </c>
      <c r="C70" s="410"/>
      <c r="D70" s="461">
        <f t="shared" si="7"/>
        <v>0</v>
      </c>
      <c r="E70" s="461">
        <f t="shared" si="7"/>
        <v>0</v>
      </c>
      <c r="F70" s="461">
        <f t="shared" si="7"/>
        <v>0</v>
      </c>
      <c r="G70" s="461">
        <f t="shared" si="7"/>
        <v>0</v>
      </c>
      <c r="H70" s="461">
        <f t="shared" si="7"/>
        <v>0</v>
      </c>
      <c r="I70" s="461">
        <f t="shared" si="7"/>
        <v>0</v>
      </c>
    </row>
    <row r="71" spans="1:15" hidden="1" x14ac:dyDescent="0.2">
      <c r="A71" s="410"/>
      <c r="B71" s="410" t="str">
        <f t="shared" si="6"/>
        <v xml:space="preserve"> </v>
      </c>
      <c r="C71" s="410"/>
      <c r="D71" s="461">
        <f t="shared" si="7"/>
        <v>0</v>
      </c>
      <c r="E71" s="461">
        <f t="shared" si="7"/>
        <v>0</v>
      </c>
      <c r="F71" s="461">
        <f t="shared" si="7"/>
        <v>0</v>
      </c>
      <c r="G71" s="461">
        <f t="shared" si="7"/>
        <v>0</v>
      </c>
      <c r="H71" s="461">
        <f t="shared" si="7"/>
        <v>0</v>
      </c>
      <c r="I71" s="461">
        <f t="shared" si="7"/>
        <v>0</v>
      </c>
    </row>
    <row r="72" spans="1:15" x14ac:dyDescent="0.2">
      <c r="A72" s="410"/>
      <c r="B72" s="410" t="str">
        <f t="shared" si="6"/>
        <v>Participant Support Costs</v>
      </c>
      <c r="C72" s="410"/>
      <c r="D72" s="461">
        <f>D41</f>
        <v>0</v>
      </c>
      <c r="E72" s="461">
        <f t="shared" ref="E72:H72" si="8">E41</f>
        <v>0</v>
      </c>
      <c r="F72" s="461">
        <f t="shared" si="8"/>
        <v>0</v>
      </c>
      <c r="G72" s="461">
        <f t="shared" si="8"/>
        <v>0</v>
      </c>
      <c r="H72" s="461">
        <f t="shared" si="8"/>
        <v>0</v>
      </c>
      <c r="I72" s="461">
        <f>I41</f>
        <v>0</v>
      </c>
    </row>
    <row r="73" spans="1:15" x14ac:dyDescent="0.2">
      <c r="A73" s="410"/>
      <c r="B73" s="420" t="s">
        <v>259</v>
      </c>
      <c r="C73" s="420"/>
      <c r="D73" s="421" t="e">
        <f>SUM(D60:D72)</f>
        <v>#REF!</v>
      </c>
      <c r="E73" s="421" t="e">
        <f t="shared" ref="E73:H73" si="9">SUM(E60:E72)</f>
        <v>#REF!</v>
      </c>
      <c r="F73" s="421" t="e">
        <f t="shared" si="9"/>
        <v>#REF!</v>
      </c>
      <c r="G73" s="421" t="e">
        <f t="shared" si="9"/>
        <v>#REF!</v>
      </c>
      <c r="H73" s="421" t="e">
        <f t="shared" si="9"/>
        <v>#REF!</v>
      </c>
      <c r="I73" s="421" t="e">
        <f>SUM(I60:I72)</f>
        <v>#REF!</v>
      </c>
    </row>
    <row r="77" spans="1:15" ht="15" customHeight="1" x14ac:dyDescent="0.2">
      <c r="A77" s="873" t="s">
        <v>260</v>
      </c>
      <c r="B77" s="873"/>
      <c r="C77" s="873"/>
      <c r="D77" s="873"/>
      <c r="E77" s="417" t="s">
        <v>147</v>
      </c>
      <c r="J77" s="665" t="s">
        <v>278</v>
      </c>
      <c r="K77" s="665"/>
      <c r="L77" s="665"/>
      <c r="M77" s="665"/>
      <c r="N77" s="665"/>
      <c r="O77" s="665"/>
    </row>
    <row r="78" spans="1:15" x14ac:dyDescent="0.2">
      <c r="J78" s="665"/>
      <c r="K78" s="665"/>
      <c r="L78" s="665"/>
      <c r="M78" s="665"/>
      <c r="N78" s="665"/>
      <c r="O78" s="665"/>
    </row>
    <row r="79" spans="1:15" x14ac:dyDescent="0.2">
      <c r="A79" s="352" t="s">
        <v>226</v>
      </c>
      <c r="B79" s="422"/>
      <c r="C79" s="422"/>
      <c r="D79" s="874" t="str">
        <f>C1</f>
        <v/>
      </c>
      <c r="E79" s="874"/>
      <c r="F79" s="874"/>
      <c r="G79" s="874"/>
      <c r="H79" s="423"/>
      <c r="I79" s="424" t="s">
        <v>227</v>
      </c>
      <c r="J79" s="665"/>
      <c r="K79" s="665"/>
      <c r="L79" s="665"/>
      <c r="M79" s="665"/>
      <c r="N79" s="665"/>
      <c r="O79" s="665"/>
    </row>
    <row r="80" spans="1:15" ht="13.5" thickBot="1" x14ac:dyDescent="0.25">
      <c r="A80" s="350"/>
      <c r="B80" s="350"/>
      <c r="C80" s="350"/>
      <c r="D80" s="350"/>
      <c r="E80" s="350"/>
      <c r="F80" s="350"/>
      <c r="G80" s="350"/>
      <c r="H80" s="350"/>
      <c r="I80" s="425" t="s">
        <v>261</v>
      </c>
      <c r="J80" s="665"/>
      <c r="K80" s="665"/>
      <c r="L80" s="665"/>
      <c r="M80" s="665"/>
      <c r="N80" s="665"/>
      <c r="O80" s="665"/>
    </row>
    <row r="81" spans="1:15" ht="15" customHeight="1" x14ac:dyDescent="0.2">
      <c r="A81" s="353"/>
      <c r="B81" s="856" t="s">
        <v>276</v>
      </c>
      <c r="C81" s="856"/>
      <c r="D81" s="856"/>
      <c r="E81" s="856"/>
      <c r="F81" s="856"/>
      <c r="G81" s="856"/>
      <c r="H81" s="856"/>
      <c r="I81" s="356"/>
      <c r="J81" s="665" t="s">
        <v>262</v>
      </c>
      <c r="K81" s="665"/>
      <c r="L81" s="665"/>
      <c r="M81" s="665"/>
      <c r="N81" s="665"/>
      <c r="O81" s="665"/>
    </row>
    <row r="82" spans="1:15" ht="13.5" thickBot="1" x14ac:dyDescent="0.25">
      <c r="A82" s="357"/>
      <c r="B82" s="358"/>
      <c r="C82" s="359"/>
      <c r="D82" s="360">
        <f>D4</f>
        <v>46204</v>
      </c>
      <c r="E82" s="361" t="s">
        <v>230</v>
      </c>
      <c r="F82" s="360">
        <f>F4</f>
        <v>48029</v>
      </c>
      <c r="G82" s="360"/>
      <c r="H82" s="426"/>
      <c r="I82" s="362"/>
      <c r="J82" s="665"/>
      <c r="K82" s="665"/>
      <c r="L82" s="665"/>
      <c r="M82" s="665"/>
      <c r="N82" s="665"/>
      <c r="O82" s="665"/>
    </row>
    <row r="83" spans="1:15" ht="13.5" thickBot="1" x14ac:dyDescent="0.25">
      <c r="A83" s="363"/>
      <c r="B83" s="363"/>
      <c r="C83" s="363"/>
      <c r="D83" s="363"/>
      <c r="E83" s="363"/>
      <c r="F83" s="363"/>
      <c r="G83" s="363"/>
      <c r="H83" s="363"/>
      <c r="J83" s="665"/>
      <c r="K83" s="665"/>
      <c r="L83" s="665"/>
      <c r="M83" s="665"/>
      <c r="N83" s="665"/>
      <c r="O83" s="665"/>
    </row>
    <row r="84" spans="1:15" ht="13.5" thickBot="1" x14ac:dyDescent="0.25">
      <c r="A84" s="364"/>
      <c r="B84" s="365"/>
      <c r="C84" s="366" t="s">
        <v>231</v>
      </c>
      <c r="D84" s="367">
        <f t="shared" ref="D84:H86" si="10">D6</f>
        <v>46204</v>
      </c>
      <c r="E84" s="367">
        <f t="shared" si="10"/>
        <v>46569</v>
      </c>
      <c r="F84" s="367">
        <f t="shared" si="10"/>
        <v>46935</v>
      </c>
      <c r="G84" s="367">
        <f t="shared" si="10"/>
        <v>47300</v>
      </c>
      <c r="H84" s="367">
        <f t="shared" si="10"/>
        <v>47665</v>
      </c>
      <c r="I84" s="427"/>
      <c r="J84" s="665"/>
      <c r="K84" s="665"/>
      <c r="L84" s="665"/>
      <c r="M84" s="665"/>
      <c r="N84" s="665"/>
      <c r="O84" s="665"/>
    </row>
    <row r="85" spans="1:15" ht="13.5" thickBot="1" x14ac:dyDescent="0.25">
      <c r="A85" s="369"/>
      <c r="B85" s="370"/>
      <c r="C85" s="371" t="s">
        <v>232</v>
      </c>
      <c r="D85" s="367">
        <f t="shared" si="10"/>
        <v>46568</v>
      </c>
      <c r="E85" s="367">
        <f t="shared" si="10"/>
        <v>46934</v>
      </c>
      <c r="F85" s="367">
        <f t="shared" si="10"/>
        <v>47299</v>
      </c>
      <c r="G85" s="367">
        <f t="shared" si="10"/>
        <v>47664</v>
      </c>
      <c r="H85" s="367">
        <f t="shared" si="10"/>
        <v>48029</v>
      </c>
      <c r="I85" s="428"/>
      <c r="J85" s="665"/>
      <c r="K85" s="665"/>
      <c r="L85" s="665"/>
      <c r="M85" s="665"/>
      <c r="N85" s="665"/>
      <c r="O85" s="665"/>
    </row>
    <row r="86" spans="1:15" x14ac:dyDescent="0.2">
      <c r="A86" s="374"/>
      <c r="B86" s="375"/>
      <c r="C86" s="375"/>
      <c r="D86" s="429" t="str">
        <f t="shared" si="10"/>
        <v>Year 1</v>
      </c>
      <c r="E86" s="429" t="str">
        <f t="shared" si="10"/>
        <v>Year 2</v>
      </c>
      <c r="F86" s="429" t="str">
        <f t="shared" si="10"/>
        <v>Year 3</v>
      </c>
      <c r="G86" s="429" t="str">
        <f t="shared" si="10"/>
        <v>Year 4</v>
      </c>
      <c r="H86" s="429" t="str">
        <f t="shared" si="10"/>
        <v>Year 5</v>
      </c>
      <c r="I86" s="430" t="s">
        <v>235</v>
      </c>
    </row>
    <row r="87" spans="1:15" x14ac:dyDescent="0.2">
      <c r="A87" s="842" t="s">
        <v>263</v>
      </c>
      <c r="B87" s="843"/>
      <c r="C87" s="844"/>
      <c r="D87" s="431">
        <f>D47</f>
        <v>0</v>
      </c>
      <c r="E87" s="431">
        <f>E47</f>
        <v>0</v>
      </c>
      <c r="F87" s="431">
        <f>F47</f>
        <v>0</v>
      </c>
      <c r="G87" s="431">
        <f>G47</f>
        <v>0</v>
      </c>
      <c r="H87" s="431">
        <f>H47</f>
        <v>0</v>
      </c>
      <c r="I87" s="432">
        <f>SUM(D87:H87)</f>
        <v>0</v>
      </c>
    </row>
    <row r="88" spans="1:15" x14ac:dyDescent="0.2">
      <c r="A88" s="845" t="s">
        <v>264</v>
      </c>
      <c r="B88" s="846"/>
      <c r="C88" s="847"/>
      <c r="D88" s="349">
        <v>0</v>
      </c>
      <c r="E88" s="349">
        <v>0</v>
      </c>
      <c r="F88" s="349">
        <v>0</v>
      </c>
      <c r="G88" s="349">
        <v>0</v>
      </c>
      <c r="H88" s="349">
        <v>0</v>
      </c>
      <c r="I88" s="432">
        <f>SUM(D88:H88)</f>
        <v>0</v>
      </c>
    </row>
    <row r="89" spans="1:15" ht="13.5" thickBot="1" x14ac:dyDescent="0.25">
      <c r="A89" s="848" t="s">
        <v>277</v>
      </c>
      <c r="B89" s="849"/>
      <c r="C89" s="850"/>
      <c r="D89" s="433">
        <f>D87-D88</f>
        <v>0</v>
      </c>
      <c r="E89" s="433">
        <f>IF(E6="","",E87-E88)</f>
        <v>0</v>
      </c>
      <c r="F89" s="433">
        <f>IF(F6="","",F87-F88)</f>
        <v>0</v>
      </c>
      <c r="G89" s="433">
        <f>IF(G6="","",G87-G88)</f>
        <v>0</v>
      </c>
      <c r="H89" s="433">
        <f>IF(H6="","",H87-H88)</f>
        <v>0</v>
      </c>
      <c r="I89" s="434">
        <f t="shared" ref="I89" si="11">I87-I88</f>
        <v>0</v>
      </c>
    </row>
    <row r="90" spans="1:15" x14ac:dyDescent="0.2">
      <c r="A90" s="350"/>
      <c r="B90" s="350"/>
      <c r="C90" s="350"/>
      <c r="D90" s="350"/>
      <c r="E90" s="350"/>
      <c r="F90" s="350"/>
      <c r="G90" s="350"/>
      <c r="H90" s="350"/>
    </row>
    <row r="91" spans="1:15" ht="39" customHeight="1" x14ac:dyDescent="0.2">
      <c r="A91" s="851" t="s">
        <v>265</v>
      </c>
      <c r="B91" s="851"/>
      <c r="C91" s="851"/>
      <c r="D91" s="851"/>
      <c r="E91" s="851"/>
      <c r="F91" s="851"/>
      <c r="G91" s="851"/>
      <c r="H91" s="851"/>
      <c r="I91" s="851"/>
    </row>
    <row r="92" spans="1:15" x14ac:dyDescent="0.2">
      <c r="A92" s="852" t="s">
        <v>266</v>
      </c>
      <c r="B92" s="852"/>
      <c r="C92" s="852"/>
      <c r="D92" s="852"/>
      <c r="E92" s="852"/>
      <c r="F92" s="852"/>
      <c r="G92" s="852"/>
      <c r="H92" s="852"/>
    </row>
    <row r="93" spans="1:15" x14ac:dyDescent="0.2">
      <c r="A93" s="853" t="s">
        <v>267</v>
      </c>
      <c r="B93" s="853"/>
      <c r="C93" s="853"/>
      <c r="D93" s="853"/>
      <c r="E93" s="853"/>
      <c r="F93" s="853"/>
      <c r="G93" s="853"/>
      <c r="H93" s="853"/>
    </row>
    <row r="94" spans="1:15" x14ac:dyDescent="0.2">
      <c r="A94" s="350"/>
      <c r="B94" s="350"/>
      <c r="C94" s="350"/>
      <c r="D94" s="350"/>
      <c r="E94" s="350"/>
      <c r="F94" s="350"/>
      <c r="G94" s="350"/>
      <c r="H94" s="350"/>
    </row>
    <row r="95" spans="1:15" x14ac:dyDescent="0.2">
      <c r="A95" s="350" t="s">
        <v>268</v>
      </c>
      <c r="B95" s="350"/>
      <c r="C95" s="350"/>
      <c r="D95" s="350"/>
      <c r="E95" s="350"/>
      <c r="F95" s="350"/>
      <c r="G95" s="350"/>
      <c r="H95" s="350"/>
    </row>
    <row r="96" spans="1:15" x14ac:dyDescent="0.2">
      <c r="A96" s="435" t="s">
        <v>269</v>
      </c>
      <c r="B96" s="436"/>
      <c r="C96" s="436"/>
      <c r="D96" s="436"/>
      <c r="E96" s="437"/>
      <c r="F96" s="854" t="s">
        <v>270</v>
      </c>
      <c r="G96" s="855"/>
      <c r="H96" s="438"/>
    </row>
    <row r="97" spans="1:8" x14ac:dyDescent="0.2">
      <c r="A97" s="837"/>
      <c r="B97" s="838"/>
      <c r="C97" s="838"/>
      <c r="D97" s="838"/>
      <c r="E97" s="839"/>
      <c r="F97" s="840"/>
      <c r="G97" s="841"/>
      <c r="H97" s="350"/>
    </row>
    <row r="98" spans="1:8" x14ac:dyDescent="0.2">
      <c r="A98" s="837"/>
      <c r="B98" s="838"/>
      <c r="C98" s="838"/>
      <c r="D98" s="838"/>
      <c r="E98" s="839"/>
      <c r="F98" s="840"/>
      <c r="G98" s="841"/>
      <c r="H98" s="350"/>
    </row>
    <row r="99" spans="1:8" x14ac:dyDescent="0.2">
      <c r="A99" s="837"/>
      <c r="B99" s="838"/>
      <c r="C99" s="838"/>
      <c r="D99" s="838"/>
      <c r="E99" s="839"/>
      <c r="F99" s="840"/>
      <c r="G99" s="841"/>
      <c r="H99" s="350"/>
    </row>
    <row r="100" spans="1:8" x14ac:dyDescent="0.2">
      <c r="A100" s="837"/>
      <c r="B100" s="838"/>
      <c r="C100" s="838"/>
      <c r="D100" s="838"/>
      <c r="E100" s="839"/>
      <c r="F100" s="840"/>
      <c r="G100" s="841"/>
      <c r="H100" s="350"/>
    </row>
    <row r="101" spans="1:8" x14ac:dyDescent="0.2">
      <c r="A101" s="837"/>
      <c r="B101" s="838"/>
      <c r="C101" s="838"/>
      <c r="D101" s="838"/>
      <c r="E101" s="839"/>
      <c r="F101" s="840"/>
      <c r="G101" s="841"/>
      <c r="H101" s="350"/>
    </row>
    <row r="102" spans="1:8" x14ac:dyDescent="0.2">
      <c r="A102" s="837"/>
      <c r="B102" s="838"/>
      <c r="C102" s="838"/>
      <c r="D102" s="838"/>
      <c r="E102" s="839"/>
      <c r="F102" s="840"/>
      <c r="G102" s="841"/>
      <c r="H102" s="350"/>
    </row>
  </sheetData>
  <mergeCells count="34">
    <mergeCell ref="B81:H81"/>
    <mergeCell ref="J81:O85"/>
    <mergeCell ref="J1:O5"/>
    <mergeCell ref="J6:AH6"/>
    <mergeCell ref="J8:R8"/>
    <mergeCell ref="J14:O16"/>
    <mergeCell ref="J42:Q44"/>
    <mergeCell ref="A1:B1"/>
    <mergeCell ref="C1:G1"/>
    <mergeCell ref="A44:B44"/>
    <mergeCell ref="A48:C48"/>
    <mergeCell ref="A55:B57"/>
    <mergeCell ref="A77:D77"/>
    <mergeCell ref="J77:O80"/>
    <mergeCell ref="D79:G79"/>
    <mergeCell ref="A99:E99"/>
    <mergeCell ref="F99:G99"/>
    <mergeCell ref="A87:C87"/>
    <mergeCell ref="A88:C88"/>
    <mergeCell ref="A89:C89"/>
    <mergeCell ref="A91:I91"/>
    <mergeCell ref="A92:H92"/>
    <mergeCell ref="A93:H93"/>
    <mergeCell ref="F96:G96"/>
    <mergeCell ref="A97:E97"/>
    <mergeCell ref="F97:G97"/>
    <mergeCell ref="A98:E98"/>
    <mergeCell ref="F98:G98"/>
    <mergeCell ref="A100:E100"/>
    <mergeCell ref="F100:G100"/>
    <mergeCell ref="A101:E101"/>
    <mergeCell ref="F101:G101"/>
    <mergeCell ref="A102:E102"/>
    <mergeCell ref="F102:G102"/>
  </mergeCells>
  <conditionalFormatting sqref="A97:G102">
    <cfRule type="expression" dxfId="5" priority="3">
      <formula>$E$77="Yes"</formula>
    </cfRule>
  </conditionalFormatting>
  <conditionalFormatting sqref="A79:I102">
    <cfRule type="expression" dxfId="4" priority="2">
      <formula>$E$77="No"</formula>
    </cfRule>
  </conditionalFormatting>
  <conditionalFormatting sqref="D88:H88">
    <cfRule type="expression" dxfId="3" priority="1">
      <formula>$E$77="Yes"</formula>
    </cfRule>
  </conditionalFormatting>
  <hyperlinks>
    <hyperlink ref="J8" r:id="rId1" display="** Required Budget Justification Template" xr:uid="{00000000-0004-0000-0300-000000000000}"/>
    <hyperlink ref="J8:R8" r:id="rId2" display="Click Here: Required Proposal and Budget Justification Template to be completed" xr:uid="{00000000-0004-0000-0300-000001000000}"/>
  </hyperlinks>
  <pageMargins left="0.7" right="0.7" top="0.75" bottom="0.75" header="0.3" footer="0.3"/>
  <pageSetup scale="83" fitToHeight="0" orientation="portrait" r:id="rId3"/>
  <rowBreaks count="1" manualBreakCount="1">
    <brk id="76" max="8" man="1"/>
  </rowBreaks>
  <colBreaks count="1" manualBreakCount="1">
    <brk id="7" max="102" man="1"/>
  </colBreaks>
  <ignoredErrors>
    <ignoredError sqref="B16:B33 D4:I34 C1 D41:I48 I36 I37 I38 I39 I40"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Worksheet!$F$20:$F$21</xm:f>
          </x14:formula1>
          <xm:sqref>E77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AH103"/>
  <sheetViews>
    <sheetView workbookViewId="0">
      <selection activeCell="D44" sqref="D44"/>
    </sheetView>
  </sheetViews>
  <sheetFormatPr defaultColWidth="9.140625" defaultRowHeight="12.75" x14ac:dyDescent="0.2"/>
  <cols>
    <col min="1" max="1" width="6.28515625" style="216" customWidth="1"/>
    <col min="2" max="2" width="23.42578125" style="216" customWidth="1"/>
    <col min="3" max="3" width="13.140625" style="216" customWidth="1"/>
    <col min="4" max="4" width="11.5703125" style="216" customWidth="1"/>
    <col min="5" max="5" width="11.7109375" style="216" customWidth="1"/>
    <col min="6" max="6" width="10.7109375" style="216" bestFit="1" customWidth="1"/>
    <col min="7" max="8" width="10.7109375" style="216" customWidth="1"/>
    <col min="9" max="9" width="9.5703125" style="216" bestFit="1" customWidth="1"/>
    <col min="10" max="10" width="9.85546875" style="216" customWidth="1"/>
    <col min="11" max="11" width="9.7109375" style="216" customWidth="1"/>
    <col min="12" max="13" width="8.28515625" style="216" customWidth="1"/>
    <col min="14" max="14" width="7.85546875" style="216" customWidth="1"/>
    <col min="15" max="17" width="9.140625" style="216"/>
    <col min="18" max="18" width="12.7109375" style="216" customWidth="1"/>
    <col min="19" max="16384" width="9.140625" style="216"/>
  </cols>
  <sheetData>
    <row r="1" spans="1:34" ht="15" x14ac:dyDescent="0.25">
      <c r="A1" s="865" t="s">
        <v>271</v>
      </c>
      <c r="B1" s="865"/>
      <c r="C1" s="866"/>
      <c r="D1" s="866"/>
      <c r="E1" s="866"/>
      <c r="F1" s="866"/>
      <c r="G1" s="866"/>
      <c r="I1" s="418" t="s">
        <v>227</v>
      </c>
      <c r="J1" s="458"/>
      <c r="K1" s="459"/>
      <c r="L1" s="459"/>
      <c r="M1" s="459"/>
      <c r="N1" s="459"/>
      <c r="O1" s="459"/>
    </row>
    <row r="2" spans="1:34" ht="13.5" thickBot="1" x14ac:dyDescent="0.25">
      <c r="A2" s="350"/>
      <c r="B2" s="350"/>
      <c r="C2" s="350"/>
      <c r="D2" s="350"/>
      <c r="E2" s="350"/>
      <c r="F2" s="350"/>
      <c r="G2" s="350"/>
      <c r="H2" s="350"/>
      <c r="I2" s="350"/>
      <c r="J2" s="459"/>
      <c r="K2" s="459"/>
      <c r="L2" s="459"/>
      <c r="M2" s="459"/>
      <c r="N2" s="459"/>
      <c r="O2" s="459"/>
    </row>
    <row r="3" spans="1:34" x14ac:dyDescent="0.2">
      <c r="A3" s="353"/>
      <c r="B3" s="354"/>
      <c r="C3" s="354"/>
      <c r="D3" s="355"/>
      <c r="E3" s="355" t="s">
        <v>229</v>
      </c>
      <c r="F3" s="355"/>
      <c r="G3" s="355"/>
      <c r="H3" s="355"/>
      <c r="I3" s="356"/>
      <c r="J3" s="459"/>
      <c r="K3" s="459"/>
      <c r="L3" s="459"/>
      <c r="M3" s="459"/>
      <c r="N3" s="459"/>
      <c r="O3" s="459"/>
    </row>
    <row r="4" spans="1:34" ht="13.5" thickBot="1" x14ac:dyDescent="0.25">
      <c r="A4" s="357"/>
      <c r="B4" s="358"/>
      <c r="C4" s="359"/>
      <c r="D4" s="360"/>
      <c r="E4" s="361" t="s">
        <v>230</v>
      </c>
      <c r="F4" s="360"/>
      <c r="G4" s="360"/>
      <c r="H4" s="360"/>
      <c r="I4" s="362"/>
      <c r="J4" s="459"/>
      <c r="K4" s="459"/>
      <c r="L4" s="459"/>
      <c r="M4" s="459"/>
      <c r="N4" s="459"/>
      <c r="O4" s="459"/>
    </row>
    <row r="5" spans="1:34" ht="13.5" thickBot="1" x14ac:dyDescent="0.25">
      <c r="A5" s="363"/>
      <c r="B5" s="363"/>
      <c r="C5" s="363"/>
      <c r="D5" s="363"/>
      <c r="E5" s="363"/>
      <c r="F5" s="363"/>
      <c r="G5" s="363"/>
      <c r="H5" s="363"/>
      <c r="I5" s="363"/>
      <c r="J5" s="459"/>
      <c r="K5" s="459"/>
      <c r="L5" s="459"/>
      <c r="M5" s="459"/>
      <c r="N5" s="459"/>
      <c r="O5" s="459"/>
    </row>
    <row r="6" spans="1:34" ht="13.5" thickBot="1" x14ac:dyDescent="0.25">
      <c r="A6" s="364"/>
      <c r="B6" s="365"/>
      <c r="C6" s="366" t="s">
        <v>231</v>
      </c>
      <c r="D6" s="367">
        <f>'State of CA Exhibit B'!D6</f>
        <v>46204</v>
      </c>
      <c r="E6" s="367">
        <f>'State of CA Exhibit B'!E6</f>
        <v>46569</v>
      </c>
      <c r="F6" s="367">
        <f>'State of CA Exhibit B'!F6</f>
        <v>46935</v>
      </c>
      <c r="G6" s="367">
        <f>'State of CA Exhibit B'!G6</f>
        <v>47300</v>
      </c>
      <c r="H6" s="367">
        <f>'State of CA Exhibit B'!H6</f>
        <v>47665</v>
      </c>
      <c r="I6" s="368"/>
      <c r="J6" s="859"/>
      <c r="K6" s="860"/>
      <c r="L6" s="860"/>
      <c r="M6" s="860"/>
      <c r="N6" s="860"/>
      <c r="O6" s="860"/>
      <c r="P6" s="860"/>
      <c r="Q6" s="860"/>
      <c r="R6" s="860"/>
      <c r="S6" s="860"/>
      <c r="T6" s="860"/>
      <c r="U6" s="860"/>
      <c r="V6" s="860"/>
      <c r="W6" s="860"/>
      <c r="X6" s="860"/>
      <c r="Y6" s="860"/>
      <c r="Z6" s="860"/>
      <c r="AA6" s="860"/>
      <c r="AB6" s="860"/>
      <c r="AC6" s="860"/>
      <c r="AD6" s="860"/>
      <c r="AE6" s="860"/>
      <c r="AF6" s="860"/>
      <c r="AG6" s="860"/>
      <c r="AH6" s="860"/>
    </row>
    <row r="7" spans="1:34" x14ac:dyDescent="0.2">
      <c r="A7" s="369"/>
      <c r="B7" s="370"/>
      <c r="C7" s="371" t="s">
        <v>232</v>
      </c>
      <c r="D7" s="367">
        <f>'State of CA Exhibit B'!D7</f>
        <v>46568</v>
      </c>
      <c r="E7" s="367">
        <f>'State of CA Exhibit B'!E7</f>
        <v>46934</v>
      </c>
      <c r="F7" s="367">
        <f>'State of CA Exhibit B'!F7</f>
        <v>47299</v>
      </c>
      <c r="G7" s="367">
        <f>'State of CA Exhibit B'!G7</f>
        <v>47664</v>
      </c>
      <c r="H7" s="367">
        <f>'State of CA Exhibit B'!H7</f>
        <v>48029</v>
      </c>
      <c r="I7" s="373"/>
    </row>
    <row r="8" spans="1:34" x14ac:dyDescent="0.2">
      <c r="A8" s="374" t="s">
        <v>233</v>
      </c>
      <c r="B8" s="375"/>
      <c r="C8" s="375"/>
      <c r="D8" s="376" t="s">
        <v>234</v>
      </c>
      <c r="E8" s="376" t="s">
        <v>281</v>
      </c>
      <c r="F8" s="376" t="s">
        <v>282</v>
      </c>
      <c r="G8" s="376" t="s">
        <v>283</v>
      </c>
      <c r="H8" s="376" t="s">
        <v>284</v>
      </c>
      <c r="I8" s="377" t="s">
        <v>235</v>
      </c>
      <c r="J8" s="861" t="s">
        <v>279</v>
      </c>
      <c r="K8" s="862"/>
      <c r="L8" s="862"/>
      <c r="M8" s="862"/>
      <c r="N8" s="862"/>
      <c r="O8" s="862"/>
      <c r="P8" s="862"/>
      <c r="Q8" s="862"/>
      <c r="R8" s="862"/>
    </row>
    <row r="9" spans="1:34" x14ac:dyDescent="0.2">
      <c r="A9" s="378" t="s">
        <v>274</v>
      </c>
      <c r="B9" s="379"/>
      <c r="C9" s="379"/>
      <c r="D9" s="380">
        <v>0</v>
      </c>
      <c r="E9" s="380">
        <v>0</v>
      </c>
      <c r="F9" s="380">
        <v>0</v>
      </c>
      <c r="G9" s="380">
        <v>0</v>
      </c>
      <c r="H9" s="380">
        <v>0</v>
      </c>
      <c r="I9" s="381">
        <f t="shared" ref="I9:I14" si="0">SUM(D9:H9)</f>
        <v>0</v>
      </c>
    </row>
    <row r="10" spans="1:34" x14ac:dyDescent="0.2">
      <c r="A10" s="378" t="s">
        <v>236</v>
      </c>
      <c r="B10" s="379"/>
      <c r="C10" s="379"/>
      <c r="D10" s="380">
        <v>0</v>
      </c>
      <c r="E10" s="380">
        <v>0</v>
      </c>
      <c r="F10" s="380">
        <v>0</v>
      </c>
      <c r="G10" s="380">
        <v>0</v>
      </c>
      <c r="H10" s="380">
        <v>0</v>
      </c>
      <c r="I10" s="381">
        <f t="shared" si="0"/>
        <v>0</v>
      </c>
    </row>
    <row r="11" spans="1:34" x14ac:dyDescent="0.2">
      <c r="A11" s="378" t="s">
        <v>237</v>
      </c>
      <c r="B11" s="379"/>
      <c r="C11" s="379"/>
      <c r="D11" s="380">
        <v>0</v>
      </c>
      <c r="E11" s="380">
        <v>0</v>
      </c>
      <c r="F11" s="380">
        <v>0</v>
      </c>
      <c r="G11" s="380">
        <v>0</v>
      </c>
      <c r="H11" s="380">
        <v>0</v>
      </c>
      <c r="I11" s="381">
        <f t="shared" si="0"/>
        <v>0</v>
      </c>
    </row>
    <row r="12" spans="1:34" x14ac:dyDescent="0.2">
      <c r="A12" s="378" t="s">
        <v>238</v>
      </c>
      <c r="B12" s="379"/>
      <c r="C12" s="379"/>
      <c r="D12" s="380">
        <v>0</v>
      </c>
      <c r="E12" s="380">
        <v>0</v>
      </c>
      <c r="F12" s="380">
        <v>0</v>
      </c>
      <c r="G12" s="380">
        <v>0</v>
      </c>
      <c r="H12" s="380">
        <v>0</v>
      </c>
      <c r="I12" s="381">
        <f t="shared" si="0"/>
        <v>0</v>
      </c>
    </row>
    <row r="13" spans="1:34" ht="15" customHeight="1" x14ac:dyDescent="0.2">
      <c r="A13" s="378" t="s">
        <v>239</v>
      </c>
      <c r="B13" s="379"/>
      <c r="C13" s="379"/>
      <c r="D13" s="380">
        <v>0</v>
      </c>
      <c r="E13" s="380">
        <v>0</v>
      </c>
      <c r="F13" s="380">
        <v>0</v>
      </c>
      <c r="G13" s="380">
        <v>0</v>
      </c>
      <c r="H13" s="380">
        <v>0</v>
      </c>
      <c r="I13" s="381">
        <f t="shared" si="0"/>
        <v>0</v>
      </c>
      <c r="K13" s="351"/>
      <c r="L13" s="351"/>
      <c r="M13" s="351"/>
      <c r="N13" s="351"/>
      <c r="O13" s="351"/>
    </row>
    <row r="14" spans="1:34" ht="15.75" customHeight="1" x14ac:dyDescent="0.2">
      <c r="A14" s="378" t="s">
        <v>240</v>
      </c>
      <c r="B14" s="382"/>
      <c r="C14" s="382"/>
      <c r="D14" s="380">
        <v>0</v>
      </c>
      <c r="E14" s="380">
        <v>0</v>
      </c>
      <c r="F14" s="380">
        <v>0</v>
      </c>
      <c r="G14" s="380">
        <v>0</v>
      </c>
      <c r="H14" s="380">
        <v>0</v>
      </c>
      <c r="I14" s="381">
        <f t="shared" si="0"/>
        <v>0</v>
      </c>
      <c r="J14" s="460"/>
      <c r="K14" s="351"/>
      <c r="L14" s="351"/>
      <c r="M14" s="351"/>
      <c r="N14" s="351"/>
      <c r="O14" s="351"/>
    </row>
    <row r="15" spans="1:34" x14ac:dyDescent="0.2">
      <c r="A15" s="378" t="s">
        <v>242</v>
      </c>
      <c r="B15" s="382"/>
      <c r="C15" s="411"/>
      <c r="D15" s="380"/>
      <c r="E15" s="380"/>
      <c r="F15" s="380"/>
      <c r="G15" s="380"/>
      <c r="H15" s="380"/>
      <c r="I15" s="381"/>
      <c r="J15" s="460"/>
      <c r="K15" s="351"/>
      <c r="L15" s="351"/>
      <c r="M15" s="351"/>
      <c r="N15" s="351"/>
      <c r="O15" s="351"/>
    </row>
    <row r="16" spans="1:34" x14ac:dyDescent="0.2">
      <c r="A16" s="378"/>
      <c r="B16" s="379" t="str">
        <f>Budget!B111</f>
        <v>GAEL</v>
      </c>
      <c r="C16" s="383"/>
      <c r="D16" s="380">
        <v>0</v>
      </c>
      <c r="E16" s="380">
        <v>0</v>
      </c>
      <c r="F16" s="380">
        <v>0</v>
      </c>
      <c r="G16" s="380">
        <v>0</v>
      </c>
      <c r="H16" s="380">
        <v>0</v>
      </c>
      <c r="I16" s="381">
        <f>SUM(D16:H16)</f>
        <v>0</v>
      </c>
      <c r="J16" s="460"/>
      <c r="K16" s="351"/>
      <c r="L16" s="351"/>
      <c r="M16" s="351"/>
      <c r="N16" s="351"/>
      <c r="O16" s="351"/>
    </row>
    <row r="17" spans="1:9" x14ac:dyDescent="0.2">
      <c r="A17" s="378"/>
      <c r="B17" s="379" t="str">
        <f>Budget!B112</f>
        <v xml:space="preserve"> </v>
      </c>
      <c r="C17" s="383"/>
      <c r="D17" s="380">
        <v>0</v>
      </c>
      <c r="E17" s="380">
        <v>0</v>
      </c>
      <c r="F17" s="380">
        <v>0</v>
      </c>
      <c r="G17" s="380">
        <v>0</v>
      </c>
      <c r="H17" s="380">
        <v>0</v>
      </c>
      <c r="I17" s="381">
        <f t="shared" ref="I17:I20" si="1">SUM(D17:H17)</f>
        <v>0</v>
      </c>
    </row>
    <row r="18" spans="1:9" x14ac:dyDescent="0.2">
      <c r="A18" s="378"/>
      <c r="B18" s="379" t="s">
        <v>54</v>
      </c>
      <c r="C18" s="383"/>
      <c r="D18" s="380">
        <v>0</v>
      </c>
      <c r="E18" s="380">
        <v>0</v>
      </c>
      <c r="F18" s="380">
        <v>0</v>
      </c>
      <c r="G18" s="380">
        <v>0</v>
      </c>
      <c r="H18" s="380">
        <v>0</v>
      </c>
      <c r="I18" s="381">
        <f t="shared" si="1"/>
        <v>0</v>
      </c>
    </row>
    <row r="19" spans="1:9" x14ac:dyDescent="0.2">
      <c r="A19" s="378"/>
      <c r="B19" s="379" t="s">
        <v>54</v>
      </c>
      <c r="C19" s="383"/>
      <c r="D19" s="380">
        <v>0</v>
      </c>
      <c r="E19" s="380">
        <v>0</v>
      </c>
      <c r="F19" s="380">
        <v>0</v>
      </c>
      <c r="G19" s="380">
        <v>0</v>
      </c>
      <c r="H19" s="380">
        <v>0</v>
      </c>
      <c r="I19" s="381">
        <f t="shared" si="1"/>
        <v>0</v>
      </c>
    </row>
    <row r="20" spans="1:9" x14ac:dyDescent="0.2">
      <c r="A20" s="378"/>
      <c r="B20" s="379" t="s">
        <v>54</v>
      </c>
      <c r="C20" s="383"/>
      <c r="D20" s="380">
        <v>0</v>
      </c>
      <c r="E20" s="380">
        <v>0</v>
      </c>
      <c r="F20" s="380">
        <v>0</v>
      </c>
      <c r="G20" s="380">
        <v>0</v>
      </c>
      <c r="H20" s="380">
        <v>0</v>
      </c>
      <c r="I20" s="381">
        <f t="shared" si="1"/>
        <v>0</v>
      </c>
    </row>
    <row r="21" spans="1:9" hidden="1" x14ac:dyDescent="0.2">
      <c r="A21" s="378"/>
      <c r="B21" s="379" t="s">
        <v>54</v>
      </c>
      <c r="C21" s="383"/>
      <c r="D21" s="380">
        <v>0</v>
      </c>
      <c r="E21" s="380">
        <v>0</v>
      </c>
      <c r="F21" s="380">
        <v>0</v>
      </c>
      <c r="G21" s="380">
        <v>0</v>
      </c>
      <c r="H21" s="380">
        <v>0</v>
      </c>
      <c r="I21" s="381">
        <f>SUM(D21:H21)</f>
        <v>0</v>
      </c>
    </row>
    <row r="22" spans="1:9" hidden="1" x14ac:dyDescent="0.2">
      <c r="A22" s="378"/>
      <c r="B22" s="379" t="s">
        <v>54</v>
      </c>
      <c r="C22" s="385"/>
      <c r="D22" s="380">
        <v>0</v>
      </c>
      <c r="E22" s="380">
        <v>0</v>
      </c>
      <c r="F22" s="380">
        <v>0</v>
      </c>
      <c r="G22" s="380">
        <v>0</v>
      </c>
      <c r="H22" s="380">
        <v>0</v>
      </c>
      <c r="I22" s="381">
        <f t="shared" ref="I22:I30" si="2">SUM(D22:H22)</f>
        <v>0</v>
      </c>
    </row>
    <row r="23" spans="1:9" hidden="1" x14ac:dyDescent="0.2">
      <c r="A23" s="378"/>
      <c r="B23" s="379" t="s">
        <v>54</v>
      </c>
      <c r="C23" s="385"/>
      <c r="D23" s="380">
        <v>0</v>
      </c>
      <c r="E23" s="380">
        <v>0</v>
      </c>
      <c r="F23" s="380">
        <v>0</v>
      </c>
      <c r="G23" s="380">
        <v>0</v>
      </c>
      <c r="H23" s="380">
        <v>0</v>
      </c>
      <c r="I23" s="381">
        <f t="shared" si="2"/>
        <v>0</v>
      </c>
    </row>
    <row r="24" spans="1:9" hidden="1" x14ac:dyDescent="0.2">
      <c r="A24" s="378"/>
      <c r="B24" s="379" t="s">
        <v>54</v>
      </c>
      <c r="C24" s="385"/>
      <c r="D24" s="380">
        <v>0</v>
      </c>
      <c r="E24" s="380">
        <v>0</v>
      </c>
      <c r="F24" s="380">
        <v>0</v>
      </c>
      <c r="G24" s="380">
        <v>0</v>
      </c>
      <c r="H24" s="380">
        <v>0</v>
      </c>
      <c r="I24" s="381">
        <f t="shared" si="2"/>
        <v>0</v>
      </c>
    </row>
    <row r="25" spans="1:9" hidden="1" x14ac:dyDescent="0.2">
      <c r="A25" s="378"/>
      <c r="B25" s="379" t="s">
        <v>54</v>
      </c>
      <c r="C25" s="385"/>
      <c r="D25" s="380">
        <v>0</v>
      </c>
      <c r="E25" s="380">
        <v>0</v>
      </c>
      <c r="F25" s="380">
        <v>0</v>
      </c>
      <c r="G25" s="380">
        <v>0</v>
      </c>
      <c r="H25" s="380">
        <v>0</v>
      </c>
      <c r="I25" s="381">
        <f t="shared" si="2"/>
        <v>0</v>
      </c>
    </row>
    <row r="26" spans="1:9" hidden="1" x14ac:dyDescent="0.2">
      <c r="A26" s="378"/>
      <c r="B26" s="379" t="s">
        <v>54</v>
      </c>
      <c r="C26" s="385"/>
      <c r="D26" s="380">
        <v>0</v>
      </c>
      <c r="E26" s="380">
        <v>0</v>
      </c>
      <c r="F26" s="380">
        <v>0</v>
      </c>
      <c r="G26" s="380">
        <v>0</v>
      </c>
      <c r="H26" s="380">
        <v>0</v>
      </c>
      <c r="I26" s="381">
        <f t="shared" si="2"/>
        <v>0</v>
      </c>
    </row>
    <row r="27" spans="1:9" hidden="1" x14ac:dyDescent="0.2">
      <c r="A27" s="378"/>
      <c r="B27" s="379" t="s">
        <v>54</v>
      </c>
      <c r="C27" s="385"/>
      <c r="D27" s="380">
        <v>0</v>
      </c>
      <c r="E27" s="380">
        <v>0</v>
      </c>
      <c r="F27" s="380">
        <v>0</v>
      </c>
      <c r="G27" s="380">
        <v>0</v>
      </c>
      <c r="H27" s="380">
        <v>0</v>
      </c>
      <c r="I27" s="381">
        <f t="shared" si="2"/>
        <v>0</v>
      </c>
    </row>
    <row r="28" spans="1:9" hidden="1" x14ac:dyDescent="0.2">
      <c r="A28" s="378"/>
      <c r="B28" s="379" t="s">
        <v>54</v>
      </c>
      <c r="C28" s="385"/>
      <c r="D28" s="380">
        <v>0</v>
      </c>
      <c r="E28" s="380">
        <v>0</v>
      </c>
      <c r="F28" s="380">
        <v>0</v>
      </c>
      <c r="G28" s="380">
        <v>0</v>
      </c>
      <c r="H28" s="380">
        <v>0</v>
      </c>
      <c r="I28" s="381">
        <f t="shared" si="2"/>
        <v>0</v>
      </c>
    </row>
    <row r="29" spans="1:9" hidden="1" x14ac:dyDescent="0.2">
      <c r="A29" s="378"/>
      <c r="B29" s="379" t="s">
        <v>54</v>
      </c>
      <c r="C29" s="385"/>
      <c r="D29" s="380">
        <v>0</v>
      </c>
      <c r="E29" s="380">
        <v>0</v>
      </c>
      <c r="F29" s="380">
        <v>0</v>
      </c>
      <c r="G29" s="380">
        <v>0</v>
      </c>
      <c r="H29" s="380">
        <v>0</v>
      </c>
      <c r="I29" s="381">
        <f t="shared" si="2"/>
        <v>0</v>
      </c>
    </row>
    <row r="30" spans="1:9" hidden="1" x14ac:dyDescent="0.2">
      <c r="A30" s="378"/>
      <c r="B30" s="379" t="s">
        <v>54</v>
      </c>
      <c r="C30" s="385"/>
      <c r="D30" s="380">
        <v>0</v>
      </c>
      <c r="E30" s="380">
        <v>0</v>
      </c>
      <c r="F30" s="380">
        <v>0</v>
      </c>
      <c r="G30" s="380">
        <v>0</v>
      </c>
      <c r="H30" s="380">
        <v>0</v>
      </c>
      <c r="I30" s="381">
        <f t="shared" si="2"/>
        <v>0</v>
      </c>
    </row>
    <row r="31" spans="1:9" x14ac:dyDescent="0.2">
      <c r="A31" s="378" t="s">
        <v>243</v>
      </c>
      <c r="B31" s="384"/>
      <c r="C31" s="385"/>
      <c r="D31" s="380"/>
      <c r="E31" s="380"/>
      <c r="F31" s="380"/>
      <c r="G31" s="380"/>
      <c r="H31" s="380"/>
      <c r="I31" s="381"/>
    </row>
    <row r="32" spans="1:9" x14ac:dyDescent="0.2">
      <c r="A32" s="386"/>
      <c r="B32" s="379" t="s">
        <v>286</v>
      </c>
      <c r="C32" s="385"/>
      <c r="D32" s="380">
        <v>0</v>
      </c>
      <c r="E32" s="380">
        <v>0</v>
      </c>
      <c r="F32" s="380">
        <v>0</v>
      </c>
      <c r="G32" s="380">
        <v>0</v>
      </c>
      <c r="H32" s="380">
        <v>0</v>
      </c>
      <c r="I32" s="381">
        <f>SUM(D32:H32)</f>
        <v>0</v>
      </c>
    </row>
    <row r="33" spans="1:17" x14ac:dyDescent="0.2">
      <c r="A33" s="386"/>
      <c r="B33" s="379" t="s">
        <v>95</v>
      </c>
      <c r="C33" s="385"/>
      <c r="D33" s="380">
        <v>0</v>
      </c>
      <c r="E33" s="380">
        <v>0</v>
      </c>
      <c r="F33" s="380">
        <v>0</v>
      </c>
      <c r="G33" s="380">
        <v>0</v>
      </c>
      <c r="H33" s="380">
        <v>0</v>
      </c>
      <c r="I33" s="381">
        <f>SUM(D33:H33)</f>
        <v>0</v>
      </c>
    </row>
    <row r="34" spans="1:17" x14ac:dyDescent="0.2">
      <c r="A34" s="386"/>
      <c r="B34" s="379" t="s">
        <v>54</v>
      </c>
      <c r="C34" s="385"/>
      <c r="D34" s="380">
        <v>0</v>
      </c>
      <c r="E34" s="380">
        <v>0</v>
      </c>
      <c r="F34" s="380">
        <v>0</v>
      </c>
      <c r="G34" s="380">
        <v>0</v>
      </c>
      <c r="H34" s="380">
        <v>0</v>
      </c>
      <c r="I34" s="381">
        <f>SUM(D34:H34)</f>
        <v>0</v>
      </c>
    </row>
    <row r="35" spans="1:17" hidden="1" x14ac:dyDescent="0.2">
      <c r="A35" s="386"/>
      <c r="B35" s="379" t="s">
        <v>54</v>
      </c>
      <c r="C35" s="385"/>
      <c r="D35" s="380">
        <v>0</v>
      </c>
      <c r="E35" s="380">
        <v>0</v>
      </c>
      <c r="F35" s="380">
        <v>0</v>
      </c>
      <c r="G35" s="380">
        <v>0</v>
      </c>
      <c r="H35" s="380">
        <v>0</v>
      </c>
      <c r="I35" s="381">
        <f t="shared" ref="I35:I42" si="3">SUM(D35:H35)</f>
        <v>0</v>
      </c>
    </row>
    <row r="36" spans="1:17" hidden="1" x14ac:dyDescent="0.2">
      <c r="A36" s="386"/>
      <c r="B36" s="379" t="s">
        <v>54</v>
      </c>
      <c r="C36" s="385"/>
      <c r="D36" s="380">
        <v>0</v>
      </c>
      <c r="E36" s="380">
        <v>0</v>
      </c>
      <c r="F36" s="380">
        <v>0</v>
      </c>
      <c r="G36" s="380">
        <v>0</v>
      </c>
      <c r="H36" s="380">
        <v>0</v>
      </c>
      <c r="I36" s="381">
        <f t="shared" si="3"/>
        <v>0</v>
      </c>
    </row>
    <row r="37" spans="1:17" hidden="1" x14ac:dyDescent="0.2">
      <c r="A37" s="386"/>
      <c r="B37" s="379" t="s">
        <v>54</v>
      </c>
      <c r="C37" s="385"/>
      <c r="D37" s="380">
        <v>0</v>
      </c>
      <c r="E37" s="380">
        <v>0</v>
      </c>
      <c r="F37" s="380">
        <v>0</v>
      </c>
      <c r="G37" s="380">
        <v>0</v>
      </c>
      <c r="H37" s="380">
        <v>0</v>
      </c>
      <c r="I37" s="381">
        <f t="shared" si="3"/>
        <v>0</v>
      </c>
    </row>
    <row r="38" spans="1:17" hidden="1" x14ac:dyDescent="0.2">
      <c r="A38" s="386"/>
      <c r="B38" s="379" t="s">
        <v>54</v>
      </c>
      <c r="C38" s="385"/>
      <c r="D38" s="380">
        <v>0</v>
      </c>
      <c r="E38" s="380">
        <v>0</v>
      </c>
      <c r="F38" s="380">
        <v>0</v>
      </c>
      <c r="G38" s="380">
        <v>0</v>
      </c>
      <c r="H38" s="380">
        <v>0</v>
      </c>
      <c r="I38" s="381">
        <f t="shared" si="3"/>
        <v>0</v>
      </c>
    </row>
    <row r="39" spans="1:17" hidden="1" x14ac:dyDescent="0.2">
      <c r="A39" s="386"/>
      <c r="B39" s="379" t="s">
        <v>54</v>
      </c>
      <c r="C39" s="385"/>
      <c r="D39" s="380">
        <v>0</v>
      </c>
      <c r="E39" s="380">
        <v>0</v>
      </c>
      <c r="F39" s="380">
        <v>0</v>
      </c>
      <c r="G39" s="380">
        <v>0</v>
      </c>
      <c r="H39" s="380">
        <v>0</v>
      </c>
      <c r="I39" s="381">
        <f>SUM(D39:H39)</f>
        <v>0</v>
      </c>
    </row>
    <row r="40" spans="1:17" hidden="1" x14ac:dyDescent="0.2">
      <c r="A40" s="386"/>
      <c r="B40" s="379" t="s">
        <v>54</v>
      </c>
      <c r="C40" s="385"/>
      <c r="D40" s="380">
        <v>0</v>
      </c>
      <c r="E40" s="380">
        <v>0</v>
      </c>
      <c r="F40" s="380">
        <v>0</v>
      </c>
      <c r="G40" s="380">
        <v>0</v>
      </c>
      <c r="H40" s="380">
        <v>0</v>
      </c>
      <c r="I40" s="381">
        <f t="shared" si="3"/>
        <v>0</v>
      </c>
    </row>
    <row r="41" spans="1:17" hidden="1" x14ac:dyDescent="0.2">
      <c r="A41" s="386"/>
      <c r="B41" s="379" t="s">
        <v>54</v>
      </c>
      <c r="C41" s="385"/>
      <c r="D41" s="380">
        <v>0</v>
      </c>
      <c r="E41" s="380">
        <v>0</v>
      </c>
      <c r="F41" s="380">
        <v>0</v>
      </c>
      <c r="G41" s="380">
        <v>0</v>
      </c>
      <c r="H41" s="380">
        <v>0</v>
      </c>
      <c r="I41" s="381">
        <f t="shared" si="3"/>
        <v>0</v>
      </c>
    </row>
    <row r="42" spans="1:17" x14ac:dyDescent="0.2">
      <c r="A42" s="386"/>
      <c r="B42" s="444" t="s">
        <v>280</v>
      </c>
      <c r="C42" s="385"/>
      <c r="D42" s="380">
        <v>0</v>
      </c>
      <c r="E42" s="380">
        <v>0</v>
      </c>
      <c r="F42" s="380">
        <v>0</v>
      </c>
      <c r="G42" s="380">
        <v>0</v>
      </c>
      <c r="H42" s="380">
        <v>0</v>
      </c>
      <c r="I42" s="381">
        <f t="shared" si="3"/>
        <v>0</v>
      </c>
    </row>
    <row r="43" spans="1:17" ht="15.75" customHeight="1" thickBot="1" x14ac:dyDescent="0.25">
      <c r="A43" s="387" t="s">
        <v>244</v>
      </c>
      <c r="B43" s="388"/>
      <c r="C43" s="388"/>
      <c r="D43" s="447">
        <f>ROUND(SUM(D9:D42),0)</f>
        <v>0</v>
      </c>
      <c r="E43" s="447">
        <f>ROUND(SUM(E9:E42),0)</f>
        <v>0</v>
      </c>
      <c r="F43" s="447">
        <f>ROUND(SUM(F9:F42),0)</f>
        <v>0</v>
      </c>
      <c r="G43" s="447">
        <f>ROUND(SUM(G9:G42),0)</f>
        <v>0</v>
      </c>
      <c r="H43" s="447">
        <f>ROUND(SUM(H9:H42),0)</f>
        <v>0</v>
      </c>
      <c r="I43" s="448">
        <f>SUM(D43:H43)</f>
        <v>0</v>
      </c>
      <c r="J43" s="457"/>
      <c r="K43" s="457"/>
      <c r="L43" s="457"/>
      <c r="M43" s="457"/>
      <c r="N43" s="457"/>
      <c r="O43" s="457"/>
      <c r="P43" s="457"/>
      <c r="Q43" s="457"/>
    </row>
    <row r="44" spans="1:17" x14ac:dyDescent="0.2">
      <c r="A44" s="389" t="s">
        <v>245</v>
      </c>
      <c r="B44" s="390"/>
      <c r="C44" s="391"/>
      <c r="D44" s="449"/>
      <c r="E44" s="449"/>
      <c r="F44" s="449"/>
      <c r="G44" s="449"/>
      <c r="H44" s="449"/>
      <c r="I44" s="449" t="s">
        <v>246</v>
      </c>
      <c r="J44" s="457"/>
      <c r="K44" s="457"/>
      <c r="L44" s="457"/>
      <c r="M44" s="457"/>
      <c r="N44" s="457"/>
      <c r="O44" s="457"/>
      <c r="P44" s="457"/>
      <c r="Q44" s="457"/>
    </row>
    <row r="45" spans="1:17" ht="13.5" thickBot="1" x14ac:dyDescent="0.25">
      <c r="A45" s="867"/>
      <c r="B45" s="868"/>
      <c r="C45" s="445" t="s">
        <v>247</v>
      </c>
      <c r="D45" s="380">
        <f>D43-SUM(D32:D42)</f>
        <v>0</v>
      </c>
      <c r="E45" s="380">
        <f t="shared" ref="E45:G45" si="4">E43-SUM(E32:E42)</f>
        <v>0</v>
      </c>
      <c r="F45" s="380">
        <f t="shared" si="4"/>
        <v>0</v>
      </c>
      <c r="G45" s="380">
        <f t="shared" si="4"/>
        <v>0</v>
      </c>
      <c r="H45" s="380">
        <f>H43-SUM(H32:H42)</f>
        <v>0</v>
      </c>
      <c r="I45" s="448">
        <f>SUM(D45:H45)</f>
        <v>0</v>
      </c>
      <c r="J45" s="457"/>
      <c r="K45" s="457"/>
      <c r="L45" s="457"/>
      <c r="M45" s="457"/>
      <c r="N45" s="457"/>
      <c r="O45" s="457"/>
      <c r="P45" s="457"/>
      <c r="Q45" s="457"/>
    </row>
    <row r="46" spans="1:17" x14ac:dyDescent="0.2">
      <c r="A46" s="412" t="s">
        <v>111</v>
      </c>
      <c r="C46" s="392"/>
      <c r="D46" s="451">
        <f>Budget!F172</f>
        <v>0.26</v>
      </c>
      <c r="E46" s="451">
        <f>Budget!G172</f>
        <v>0.26</v>
      </c>
      <c r="F46" s="451">
        <f>Budget!H172</f>
        <v>0.26</v>
      </c>
      <c r="G46" s="451">
        <f>Budget!I172</f>
        <v>0.26</v>
      </c>
      <c r="H46" s="451">
        <f>Budget!J172</f>
        <v>0.26</v>
      </c>
      <c r="I46" s="452"/>
      <c r="J46" s="236"/>
    </row>
    <row r="47" spans="1:17" ht="13.5" thickBot="1" x14ac:dyDescent="0.25">
      <c r="A47" s="393" t="s">
        <v>245</v>
      </c>
      <c r="B47" s="394"/>
      <c r="D47" s="453">
        <f>ROUND(D45*D46,0)</f>
        <v>0</v>
      </c>
      <c r="E47" s="453">
        <f>ROUND(E45*E46,0)</f>
        <v>0</v>
      </c>
      <c r="F47" s="453">
        <f>ROUND(F45*F46,0)</f>
        <v>0</v>
      </c>
      <c r="G47" s="453">
        <f>ROUND(G45*G46,0)</f>
        <v>0</v>
      </c>
      <c r="H47" s="453">
        <f>ROUND(H45*H46,0)</f>
        <v>0</v>
      </c>
      <c r="I47" s="448">
        <f>SUM(D47:H47)</f>
        <v>0</v>
      </c>
    </row>
    <row r="48" spans="1:17" ht="13.5" thickBot="1" x14ac:dyDescent="0.25">
      <c r="A48" s="387" t="s">
        <v>248</v>
      </c>
      <c r="B48" s="388"/>
      <c r="C48" s="388"/>
      <c r="D48" s="447">
        <f>ROUND(D43+D47,0)</f>
        <v>0</v>
      </c>
      <c r="E48" s="447">
        <f>ROUND(E43+E47,0)</f>
        <v>0</v>
      </c>
      <c r="F48" s="447">
        <f>ROUND(F43+F47,0)</f>
        <v>0</v>
      </c>
      <c r="G48" s="447">
        <f>ROUND(G43+G47,0)</f>
        <v>0</v>
      </c>
      <c r="H48" s="447">
        <f>ROUND(H43+H47,0)</f>
        <v>0</v>
      </c>
      <c r="I48" s="448"/>
    </row>
    <row r="49" spans="1:9" ht="13.5" thickBot="1" x14ac:dyDescent="0.25">
      <c r="A49" s="869" t="s">
        <v>249</v>
      </c>
      <c r="B49" s="870"/>
      <c r="C49" s="871"/>
      <c r="D49" s="454"/>
      <c r="E49" s="454"/>
      <c r="F49" s="454"/>
      <c r="G49" s="455"/>
      <c r="H49" s="455"/>
      <c r="I49" s="456">
        <f>SUM(D48:H48)</f>
        <v>0</v>
      </c>
    </row>
    <row r="50" spans="1:9" ht="13.5" thickBot="1" x14ac:dyDescent="0.25">
      <c r="A50" s="395"/>
      <c r="B50" s="396"/>
      <c r="C50" s="396"/>
      <c r="D50" s="397"/>
      <c r="E50" s="397"/>
      <c r="F50" s="397"/>
      <c r="G50" s="397"/>
      <c r="H50" s="397"/>
      <c r="I50" s="398"/>
    </row>
    <row r="51" spans="1:9" ht="13.5" thickBot="1" x14ac:dyDescent="0.25">
      <c r="A51" s="399"/>
      <c r="B51" s="400"/>
      <c r="C51" s="400"/>
      <c r="D51" s="401"/>
      <c r="E51" s="401"/>
      <c r="F51" s="401"/>
      <c r="G51" s="401"/>
      <c r="H51" s="401"/>
      <c r="I51" s="402"/>
    </row>
    <row r="52" spans="1:9" x14ac:dyDescent="0.2">
      <c r="A52" s="403" t="s">
        <v>275</v>
      </c>
      <c r="B52" s="350"/>
      <c r="C52" s="350"/>
      <c r="D52" s="350"/>
      <c r="E52" s="350"/>
      <c r="F52" s="350"/>
      <c r="G52" s="350"/>
      <c r="H52" s="350"/>
      <c r="I52" s="350"/>
    </row>
    <row r="53" spans="1:9" x14ac:dyDescent="0.2">
      <c r="A53" s="404"/>
      <c r="B53" s="350"/>
      <c r="C53" s="350"/>
      <c r="D53" s="350"/>
      <c r="E53" s="350"/>
      <c r="F53" s="350"/>
      <c r="G53" s="350"/>
      <c r="H53" s="350"/>
      <c r="I53" s="350"/>
    </row>
    <row r="54" spans="1:9" ht="13.5" thickBot="1" x14ac:dyDescent="0.25">
      <c r="A54" s="403" t="s">
        <v>250</v>
      </c>
      <c r="B54" s="350"/>
      <c r="C54" s="350"/>
      <c r="D54" s="360">
        <f>D7+(3*365)+1</f>
        <v>47664</v>
      </c>
      <c r="E54" s="360">
        <f>IF(E7="","",E7+(3*365)+1)</f>
        <v>48030</v>
      </c>
      <c r="F54" s="360">
        <f>IF(F7="","",F7+(3*365)+1)</f>
        <v>48395</v>
      </c>
      <c r="G54" s="360">
        <f>IF(G7="","",G7+(3*365)+1)</f>
        <v>48760</v>
      </c>
      <c r="H54" s="360">
        <f>IF(H7="","",H7+(3*365)+1)</f>
        <v>49125</v>
      </c>
      <c r="I54" s="360"/>
    </row>
    <row r="55" spans="1:9" x14ac:dyDescent="0.2">
      <c r="A55" s="405" t="s">
        <v>251</v>
      </c>
      <c r="B55" s="350"/>
      <c r="C55" s="350"/>
      <c r="D55" s="406"/>
      <c r="E55" s="406"/>
      <c r="F55" s="406"/>
      <c r="G55" s="406"/>
      <c r="H55" s="406"/>
      <c r="I55" s="350"/>
    </row>
    <row r="56" spans="1:9" ht="21.75" customHeight="1" x14ac:dyDescent="0.2">
      <c r="A56" s="872" t="s">
        <v>252</v>
      </c>
      <c r="B56" s="872"/>
      <c r="C56" s="413" t="s">
        <v>253</v>
      </c>
      <c r="D56" s="407">
        <v>0.1</v>
      </c>
      <c r="E56" s="407"/>
      <c r="F56" s="407"/>
      <c r="G56" s="407"/>
      <c r="H56" s="407"/>
      <c r="I56" s="407"/>
    </row>
    <row r="57" spans="1:9" ht="14.25" customHeight="1" x14ac:dyDescent="0.2">
      <c r="A57" s="872"/>
      <c r="B57" s="872"/>
      <c r="C57" s="414"/>
      <c r="D57" s="415" t="s">
        <v>254</v>
      </c>
      <c r="E57" s="416"/>
      <c r="F57" s="416"/>
      <c r="G57" s="416"/>
      <c r="H57" s="416"/>
      <c r="I57" s="350"/>
    </row>
    <row r="58" spans="1:9" ht="21" customHeight="1" x14ac:dyDescent="0.2">
      <c r="A58" s="872"/>
      <c r="B58" s="872"/>
      <c r="C58" s="413" t="s">
        <v>255</v>
      </c>
      <c r="D58" s="408">
        <v>10000</v>
      </c>
      <c r="E58" s="408"/>
      <c r="F58" s="408"/>
      <c r="G58" s="408"/>
      <c r="H58" s="408"/>
      <c r="I58" s="407"/>
    </row>
    <row r="59" spans="1:9" x14ac:dyDescent="0.2">
      <c r="A59" s="350"/>
      <c r="B59" s="350"/>
      <c r="C59" s="350"/>
      <c r="D59" s="350"/>
      <c r="E59" s="350"/>
      <c r="F59" s="350"/>
      <c r="G59" s="350"/>
      <c r="H59" s="350"/>
      <c r="I59" s="350"/>
    </row>
    <row r="60" spans="1:9" x14ac:dyDescent="0.2">
      <c r="A60" s="409" t="s">
        <v>256</v>
      </c>
      <c r="B60" s="404"/>
      <c r="C60" s="404"/>
      <c r="D60" s="404"/>
      <c r="E60" s="404"/>
      <c r="F60" s="404"/>
      <c r="G60" s="404"/>
      <c r="H60" s="404"/>
      <c r="I60" s="404"/>
    </row>
    <row r="61" spans="1:9" x14ac:dyDescent="0.2">
      <c r="A61" s="410"/>
      <c r="B61" s="410" t="s">
        <v>257</v>
      </c>
      <c r="C61" s="410"/>
      <c r="D61" s="461">
        <v>0</v>
      </c>
      <c r="E61" s="461">
        <v>0</v>
      </c>
      <c r="F61" s="461">
        <v>0</v>
      </c>
      <c r="G61" s="461">
        <v>0</v>
      </c>
      <c r="H61" s="461">
        <v>0</v>
      </c>
      <c r="I61" s="461">
        <f>SUM(D61:H61)</f>
        <v>0</v>
      </c>
    </row>
    <row r="62" spans="1:9" x14ac:dyDescent="0.2">
      <c r="A62" s="410"/>
      <c r="B62" s="410" t="s">
        <v>258</v>
      </c>
      <c r="C62" s="410"/>
      <c r="D62" s="461">
        <f>D12</f>
        <v>0</v>
      </c>
      <c r="E62" s="461">
        <f t="shared" ref="E62:H62" si="5">E12</f>
        <v>0</v>
      </c>
      <c r="F62" s="461">
        <f t="shared" si="5"/>
        <v>0</v>
      </c>
      <c r="G62" s="461">
        <f t="shared" si="5"/>
        <v>0</v>
      </c>
      <c r="H62" s="461">
        <f t="shared" si="5"/>
        <v>0</v>
      </c>
      <c r="I62" s="461">
        <f>SUM(D62:H62)</f>
        <v>0</v>
      </c>
    </row>
    <row r="63" spans="1:9" x14ac:dyDescent="0.2">
      <c r="A63" s="410"/>
      <c r="B63" s="410" t="str">
        <f t="shared" ref="B63:B73" si="6">B32</f>
        <v>Off Campus Rent</v>
      </c>
      <c r="C63" s="410"/>
      <c r="D63" s="461">
        <f>D32</f>
        <v>0</v>
      </c>
      <c r="E63" s="461">
        <f t="shared" ref="E63:H63" si="7">E32</f>
        <v>0</v>
      </c>
      <c r="F63" s="461">
        <f t="shared" si="7"/>
        <v>0</v>
      </c>
      <c r="G63" s="461">
        <f t="shared" si="7"/>
        <v>0</v>
      </c>
      <c r="H63" s="461">
        <f t="shared" si="7"/>
        <v>0</v>
      </c>
      <c r="I63" s="461">
        <f>SUM(D63:H63)</f>
        <v>0</v>
      </c>
    </row>
    <row r="64" spans="1:9" x14ac:dyDescent="0.2">
      <c r="A64" s="410"/>
      <c r="B64" s="410" t="str">
        <f t="shared" si="6"/>
        <v>Tuition Remission</v>
      </c>
      <c r="C64" s="410"/>
      <c r="D64" s="461">
        <f>D33</f>
        <v>0</v>
      </c>
      <c r="E64" s="461">
        <f t="shared" ref="E64:H64" si="8">E33</f>
        <v>0</v>
      </c>
      <c r="F64" s="461">
        <f t="shared" si="8"/>
        <v>0</v>
      </c>
      <c r="G64" s="461">
        <f t="shared" si="8"/>
        <v>0</v>
      </c>
      <c r="H64" s="461">
        <f t="shared" si="8"/>
        <v>0</v>
      </c>
      <c r="I64" s="461">
        <f>SUM(D64:H64)</f>
        <v>0</v>
      </c>
    </row>
    <row r="65" spans="1:15" x14ac:dyDescent="0.2">
      <c r="A65" s="410"/>
      <c r="B65" s="410" t="str">
        <f t="shared" si="6"/>
        <v>Description</v>
      </c>
      <c r="C65" s="419"/>
      <c r="D65" s="461">
        <f t="shared" ref="D65:H65" si="9">D34</f>
        <v>0</v>
      </c>
      <c r="E65" s="461">
        <f t="shared" si="9"/>
        <v>0</v>
      </c>
      <c r="F65" s="461">
        <f t="shared" si="9"/>
        <v>0</v>
      </c>
      <c r="G65" s="461">
        <f t="shared" si="9"/>
        <v>0</v>
      </c>
      <c r="H65" s="461">
        <f t="shared" si="9"/>
        <v>0</v>
      </c>
      <c r="I65" s="461">
        <f t="shared" ref="I65:I73" si="10">SUM(D65:H65)</f>
        <v>0</v>
      </c>
    </row>
    <row r="66" spans="1:15" hidden="1" x14ac:dyDescent="0.2">
      <c r="A66" s="410"/>
      <c r="B66" s="410" t="str">
        <f t="shared" si="6"/>
        <v>Description</v>
      </c>
      <c r="C66" s="419"/>
      <c r="D66" s="461">
        <f t="shared" ref="D66:H66" si="11">D35</f>
        <v>0</v>
      </c>
      <c r="E66" s="461">
        <f t="shared" si="11"/>
        <v>0</v>
      </c>
      <c r="F66" s="461">
        <f t="shared" si="11"/>
        <v>0</v>
      </c>
      <c r="G66" s="461">
        <f t="shared" si="11"/>
        <v>0</v>
      </c>
      <c r="H66" s="461">
        <f t="shared" si="11"/>
        <v>0</v>
      </c>
      <c r="I66" s="461">
        <f t="shared" si="10"/>
        <v>0</v>
      </c>
    </row>
    <row r="67" spans="1:15" hidden="1" x14ac:dyDescent="0.2">
      <c r="A67" s="410"/>
      <c r="B67" s="410" t="str">
        <f t="shared" si="6"/>
        <v>Description</v>
      </c>
      <c r="C67" s="419"/>
      <c r="D67" s="461">
        <f t="shared" ref="D67:H67" si="12">D36</f>
        <v>0</v>
      </c>
      <c r="E67" s="461">
        <f t="shared" si="12"/>
        <v>0</v>
      </c>
      <c r="F67" s="461">
        <f t="shared" si="12"/>
        <v>0</v>
      </c>
      <c r="G67" s="461">
        <f t="shared" si="12"/>
        <v>0</v>
      </c>
      <c r="H67" s="461">
        <f t="shared" si="12"/>
        <v>0</v>
      </c>
      <c r="I67" s="461">
        <f t="shared" si="10"/>
        <v>0</v>
      </c>
    </row>
    <row r="68" spans="1:15" hidden="1" x14ac:dyDescent="0.2">
      <c r="A68" s="410"/>
      <c r="B68" s="410" t="str">
        <f t="shared" si="6"/>
        <v>Description</v>
      </c>
      <c r="C68" s="419"/>
      <c r="D68" s="461">
        <f t="shared" ref="D68:H68" si="13">D37</f>
        <v>0</v>
      </c>
      <c r="E68" s="461">
        <f t="shared" si="13"/>
        <v>0</v>
      </c>
      <c r="F68" s="461">
        <f t="shared" si="13"/>
        <v>0</v>
      </c>
      <c r="G68" s="461">
        <f t="shared" si="13"/>
        <v>0</v>
      </c>
      <c r="H68" s="461">
        <f t="shared" si="13"/>
        <v>0</v>
      </c>
      <c r="I68" s="461">
        <f t="shared" si="10"/>
        <v>0</v>
      </c>
    </row>
    <row r="69" spans="1:15" hidden="1" x14ac:dyDescent="0.2">
      <c r="A69" s="410"/>
      <c r="B69" s="410" t="str">
        <f t="shared" si="6"/>
        <v>Description</v>
      </c>
      <c r="C69" s="419"/>
      <c r="D69" s="461">
        <f t="shared" ref="D69:H69" si="14">D38</f>
        <v>0</v>
      </c>
      <c r="E69" s="461">
        <f t="shared" si="14"/>
        <v>0</v>
      </c>
      <c r="F69" s="461">
        <f t="shared" si="14"/>
        <v>0</v>
      </c>
      <c r="G69" s="461">
        <f t="shared" si="14"/>
        <v>0</v>
      </c>
      <c r="H69" s="461">
        <f t="shared" si="14"/>
        <v>0</v>
      </c>
      <c r="I69" s="461">
        <f t="shared" si="10"/>
        <v>0</v>
      </c>
    </row>
    <row r="70" spans="1:15" hidden="1" x14ac:dyDescent="0.2">
      <c r="A70" s="410"/>
      <c r="B70" s="410" t="str">
        <f t="shared" si="6"/>
        <v>Description</v>
      </c>
      <c r="C70" s="419"/>
      <c r="D70" s="461">
        <f t="shared" ref="D70:H70" si="15">D39</f>
        <v>0</v>
      </c>
      <c r="E70" s="461">
        <f t="shared" si="15"/>
        <v>0</v>
      </c>
      <c r="F70" s="461">
        <f t="shared" si="15"/>
        <v>0</v>
      </c>
      <c r="G70" s="461">
        <f t="shared" si="15"/>
        <v>0</v>
      </c>
      <c r="H70" s="461">
        <f t="shared" si="15"/>
        <v>0</v>
      </c>
      <c r="I70" s="461">
        <f t="shared" si="10"/>
        <v>0</v>
      </c>
    </row>
    <row r="71" spans="1:15" hidden="1" x14ac:dyDescent="0.2">
      <c r="A71" s="410"/>
      <c r="B71" s="410" t="str">
        <f t="shared" si="6"/>
        <v>Description</v>
      </c>
      <c r="C71" s="419"/>
      <c r="D71" s="461">
        <f t="shared" ref="D71:H71" si="16">D40</f>
        <v>0</v>
      </c>
      <c r="E71" s="461">
        <f t="shared" si="16"/>
        <v>0</v>
      </c>
      <c r="F71" s="461">
        <f t="shared" si="16"/>
        <v>0</v>
      </c>
      <c r="G71" s="461">
        <f t="shared" si="16"/>
        <v>0</v>
      </c>
      <c r="H71" s="461">
        <f t="shared" si="16"/>
        <v>0</v>
      </c>
      <c r="I71" s="461">
        <f t="shared" si="10"/>
        <v>0</v>
      </c>
    </row>
    <row r="72" spans="1:15" hidden="1" x14ac:dyDescent="0.2">
      <c r="A72" s="410"/>
      <c r="B72" s="410" t="str">
        <f t="shared" si="6"/>
        <v>Description</v>
      </c>
      <c r="C72" s="419"/>
      <c r="D72" s="461">
        <f t="shared" ref="D72:H72" si="17">D41</f>
        <v>0</v>
      </c>
      <c r="E72" s="461">
        <f t="shared" si="17"/>
        <v>0</v>
      </c>
      <c r="F72" s="461">
        <f t="shared" si="17"/>
        <v>0</v>
      </c>
      <c r="G72" s="461">
        <f t="shared" si="17"/>
        <v>0</v>
      </c>
      <c r="H72" s="461">
        <f t="shared" si="17"/>
        <v>0</v>
      </c>
      <c r="I72" s="461">
        <f t="shared" si="10"/>
        <v>0</v>
      </c>
    </row>
    <row r="73" spans="1:15" x14ac:dyDescent="0.2">
      <c r="A73" s="410"/>
      <c r="B73" s="410" t="str">
        <f t="shared" si="6"/>
        <v>Participant Support Costs</v>
      </c>
      <c r="C73" s="419"/>
      <c r="D73" s="461">
        <f t="shared" ref="D73:H73" si="18">D42</f>
        <v>0</v>
      </c>
      <c r="E73" s="461">
        <f t="shared" si="18"/>
        <v>0</v>
      </c>
      <c r="F73" s="461">
        <f t="shared" si="18"/>
        <v>0</v>
      </c>
      <c r="G73" s="461">
        <f t="shared" si="18"/>
        <v>0</v>
      </c>
      <c r="H73" s="461">
        <f t="shared" si="18"/>
        <v>0</v>
      </c>
      <c r="I73" s="461">
        <f t="shared" si="10"/>
        <v>0</v>
      </c>
    </row>
    <row r="74" spans="1:15" x14ac:dyDescent="0.2">
      <c r="A74" s="410"/>
      <c r="B74" s="420" t="s">
        <v>259</v>
      </c>
      <c r="C74" s="420"/>
      <c r="D74" s="421">
        <f>SUM(D61:D73)</f>
        <v>0</v>
      </c>
      <c r="E74" s="421">
        <f t="shared" ref="E74:G74" si="19">SUM(E61:E73)</f>
        <v>0</v>
      </c>
      <c r="F74" s="421">
        <f>SUM(F61:F73)</f>
        <v>0</v>
      </c>
      <c r="G74" s="421">
        <f t="shared" si="19"/>
        <v>0</v>
      </c>
      <c r="H74" s="421">
        <f>SUM(H61:H73)</f>
        <v>0</v>
      </c>
      <c r="I74" s="421">
        <f>SUM(I61:I73)</f>
        <v>0</v>
      </c>
    </row>
    <row r="78" spans="1:15" ht="15" customHeight="1" x14ac:dyDescent="0.2">
      <c r="A78" s="873" t="s">
        <v>260</v>
      </c>
      <c r="B78" s="873"/>
      <c r="C78" s="873"/>
      <c r="D78" s="873"/>
      <c r="E78" s="417" t="s">
        <v>0</v>
      </c>
      <c r="J78" s="665" t="s">
        <v>278</v>
      </c>
      <c r="K78" s="665"/>
      <c r="L78" s="665"/>
      <c r="M78" s="665"/>
      <c r="N78" s="665"/>
      <c r="O78" s="665"/>
    </row>
    <row r="79" spans="1:15" x14ac:dyDescent="0.2">
      <c r="J79" s="665"/>
      <c r="K79" s="665"/>
      <c r="L79" s="665"/>
      <c r="M79" s="665"/>
      <c r="N79" s="665"/>
      <c r="O79" s="665"/>
    </row>
    <row r="80" spans="1:15" x14ac:dyDescent="0.2">
      <c r="A80" s="352" t="s">
        <v>226</v>
      </c>
      <c r="B80" s="422"/>
      <c r="C80" s="422"/>
      <c r="D80" s="874">
        <f>C1</f>
        <v>0</v>
      </c>
      <c r="E80" s="874"/>
      <c r="F80" s="874"/>
      <c r="G80" s="874"/>
      <c r="H80" s="423"/>
      <c r="I80" s="424" t="s">
        <v>227</v>
      </c>
      <c r="J80" s="665"/>
      <c r="K80" s="665"/>
      <c r="L80" s="665"/>
      <c r="M80" s="665"/>
      <c r="N80" s="665"/>
      <c r="O80" s="665"/>
    </row>
    <row r="81" spans="1:15" ht="13.5" thickBot="1" x14ac:dyDescent="0.25">
      <c r="A81" s="350"/>
      <c r="B81" s="350"/>
      <c r="C81" s="350"/>
      <c r="D81" s="350"/>
      <c r="E81" s="350"/>
      <c r="F81" s="350"/>
      <c r="G81" s="350"/>
      <c r="H81" s="350"/>
      <c r="I81" s="425" t="s">
        <v>261</v>
      </c>
      <c r="J81" s="665"/>
      <c r="K81" s="665"/>
      <c r="L81" s="665"/>
      <c r="M81" s="665"/>
      <c r="N81" s="665"/>
      <c r="O81" s="665"/>
    </row>
    <row r="82" spans="1:15" ht="15" customHeight="1" x14ac:dyDescent="0.2">
      <c r="A82" s="353"/>
      <c r="B82" s="856" t="s">
        <v>276</v>
      </c>
      <c r="C82" s="856"/>
      <c r="D82" s="856"/>
      <c r="E82" s="856"/>
      <c r="F82" s="856"/>
      <c r="G82" s="856"/>
      <c r="H82" s="856"/>
      <c r="I82" s="356"/>
      <c r="J82" s="665" t="s">
        <v>262</v>
      </c>
      <c r="K82" s="665"/>
      <c r="L82" s="665"/>
      <c r="M82" s="665"/>
      <c r="N82" s="665"/>
      <c r="O82" s="665"/>
    </row>
    <row r="83" spans="1:15" ht="13.5" thickBot="1" x14ac:dyDescent="0.25">
      <c r="A83" s="357"/>
      <c r="B83" s="358"/>
      <c r="C83" s="359"/>
      <c r="D83" s="360">
        <f>D4</f>
        <v>0</v>
      </c>
      <c r="E83" s="361" t="s">
        <v>230</v>
      </c>
      <c r="F83" s="360">
        <f>F4</f>
        <v>0</v>
      </c>
      <c r="G83" s="360"/>
      <c r="H83" s="426"/>
      <c r="I83" s="362"/>
      <c r="J83" s="665"/>
      <c r="K83" s="665"/>
      <c r="L83" s="665"/>
      <c r="M83" s="665"/>
      <c r="N83" s="665"/>
      <c r="O83" s="665"/>
    </row>
    <row r="84" spans="1:15" ht="13.5" thickBot="1" x14ac:dyDescent="0.25">
      <c r="A84" s="363"/>
      <c r="B84" s="363"/>
      <c r="C84" s="363"/>
      <c r="D84" s="363"/>
      <c r="E84" s="363"/>
      <c r="F84" s="363"/>
      <c r="G84" s="363"/>
      <c r="H84" s="363"/>
      <c r="J84" s="665"/>
      <c r="K84" s="665"/>
      <c r="L84" s="665"/>
      <c r="M84" s="665"/>
      <c r="N84" s="665"/>
      <c r="O84" s="665"/>
    </row>
    <row r="85" spans="1:15" ht="13.5" thickBot="1" x14ac:dyDescent="0.25">
      <c r="A85" s="364"/>
      <c r="B85" s="365"/>
      <c r="C85" s="366" t="s">
        <v>231</v>
      </c>
      <c r="D85" s="367">
        <f t="shared" ref="D85:H87" si="20">D6</f>
        <v>46204</v>
      </c>
      <c r="E85" s="367">
        <f t="shared" si="20"/>
        <v>46569</v>
      </c>
      <c r="F85" s="367">
        <f t="shared" si="20"/>
        <v>46935</v>
      </c>
      <c r="G85" s="367">
        <f t="shared" si="20"/>
        <v>47300</v>
      </c>
      <c r="H85" s="367">
        <f t="shared" si="20"/>
        <v>47665</v>
      </c>
      <c r="I85" s="427"/>
      <c r="J85" s="665"/>
      <c r="K85" s="665"/>
      <c r="L85" s="665"/>
      <c r="M85" s="665"/>
      <c r="N85" s="665"/>
      <c r="O85" s="665"/>
    </row>
    <row r="86" spans="1:15" ht="13.5" thickBot="1" x14ac:dyDescent="0.25">
      <c r="A86" s="369"/>
      <c r="B86" s="370"/>
      <c r="C86" s="371" t="s">
        <v>232</v>
      </c>
      <c r="D86" s="367">
        <f t="shared" si="20"/>
        <v>46568</v>
      </c>
      <c r="E86" s="367">
        <f t="shared" si="20"/>
        <v>46934</v>
      </c>
      <c r="F86" s="367">
        <f t="shared" si="20"/>
        <v>47299</v>
      </c>
      <c r="G86" s="367">
        <f t="shared" si="20"/>
        <v>47664</v>
      </c>
      <c r="H86" s="367">
        <f t="shared" si="20"/>
        <v>48029</v>
      </c>
      <c r="I86" s="428"/>
      <c r="J86" s="665"/>
      <c r="K86" s="665"/>
      <c r="L86" s="665"/>
      <c r="M86" s="665"/>
      <c r="N86" s="665"/>
      <c r="O86" s="665"/>
    </row>
    <row r="87" spans="1:15" x14ac:dyDescent="0.2">
      <c r="A87" s="374"/>
      <c r="B87" s="375"/>
      <c r="C87" s="375"/>
      <c r="D87" s="429" t="str">
        <f t="shared" si="20"/>
        <v>Year 1</v>
      </c>
      <c r="E87" s="429" t="str">
        <f t="shared" si="20"/>
        <v>Year 2</v>
      </c>
      <c r="F87" s="429" t="str">
        <f t="shared" si="20"/>
        <v>Year 3</v>
      </c>
      <c r="G87" s="429" t="str">
        <f t="shared" si="20"/>
        <v>Year 4</v>
      </c>
      <c r="H87" s="429" t="str">
        <f t="shared" si="20"/>
        <v>Year 5</v>
      </c>
      <c r="I87" s="430" t="s">
        <v>235</v>
      </c>
    </row>
    <row r="88" spans="1:15" x14ac:dyDescent="0.2">
      <c r="A88" s="842" t="s">
        <v>263</v>
      </c>
      <c r="B88" s="843"/>
      <c r="C88" s="844"/>
      <c r="D88" s="431">
        <f>D48</f>
        <v>0</v>
      </c>
      <c r="E88" s="431">
        <f>E48</f>
        <v>0</v>
      </c>
      <c r="F88" s="431">
        <f>F48</f>
        <v>0</v>
      </c>
      <c r="G88" s="431">
        <f>G48</f>
        <v>0</v>
      </c>
      <c r="H88" s="431">
        <f>H48</f>
        <v>0</v>
      </c>
      <c r="I88" s="432">
        <f>SUM(D88:H88)</f>
        <v>0</v>
      </c>
    </row>
    <row r="89" spans="1:15" x14ac:dyDescent="0.2">
      <c r="A89" s="845" t="s">
        <v>264</v>
      </c>
      <c r="B89" s="846"/>
      <c r="C89" s="847"/>
      <c r="D89" s="349">
        <v>0</v>
      </c>
      <c r="E89" s="349">
        <v>0</v>
      </c>
      <c r="F89" s="349">
        <v>0</v>
      </c>
      <c r="G89" s="349">
        <v>0</v>
      </c>
      <c r="H89" s="349">
        <v>0</v>
      </c>
      <c r="I89" s="432">
        <f>SUM(D89:H89)</f>
        <v>0</v>
      </c>
    </row>
    <row r="90" spans="1:15" ht="13.5" thickBot="1" x14ac:dyDescent="0.25">
      <c r="A90" s="848" t="s">
        <v>277</v>
      </c>
      <c r="B90" s="849"/>
      <c r="C90" s="850"/>
      <c r="D90" s="433">
        <f>D88-D89</f>
        <v>0</v>
      </c>
      <c r="E90" s="433">
        <f>IF(E6="","",E88-E89)</f>
        <v>0</v>
      </c>
      <c r="F90" s="433">
        <f>IF(F6="","",F88-F89)</f>
        <v>0</v>
      </c>
      <c r="G90" s="433">
        <f>IF(G6="","",G88-G89)</f>
        <v>0</v>
      </c>
      <c r="H90" s="433">
        <f>IF(H6="","",H88-H89)</f>
        <v>0</v>
      </c>
      <c r="I90" s="434">
        <f t="shared" ref="I90" si="21">I88-I89</f>
        <v>0</v>
      </c>
    </row>
    <row r="91" spans="1:15" x14ac:dyDescent="0.2">
      <c r="A91" s="350"/>
      <c r="B91" s="350"/>
      <c r="C91" s="350"/>
      <c r="D91" s="350"/>
      <c r="E91" s="350"/>
      <c r="F91" s="350"/>
      <c r="G91" s="350"/>
      <c r="H91" s="350"/>
    </row>
    <row r="92" spans="1:15" ht="39" customHeight="1" x14ac:dyDescent="0.2">
      <c r="A92" s="851" t="s">
        <v>265</v>
      </c>
      <c r="B92" s="851"/>
      <c r="C92" s="851"/>
      <c r="D92" s="851"/>
      <c r="E92" s="851"/>
      <c r="F92" s="851"/>
      <c r="G92" s="851"/>
      <c r="H92" s="851"/>
      <c r="I92" s="851"/>
    </row>
    <row r="93" spans="1:15" x14ac:dyDescent="0.2">
      <c r="A93" s="852" t="s">
        <v>266</v>
      </c>
      <c r="B93" s="852"/>
      <c r="C93" s="852"/>
      <c r="D93" s="852"/>
      <c r="E93" s="852"/>
      <c r="F93" s="852"/>
      <c r="G93" s="852"/>
      <c r="H93" s="852"/>
    </row>
    <row r="94" spans="1:15" x14ac:dyDescent="0.2">
      <c r="A94" s="853" t="s">
        <v>267</v>
      </c>
      <c r="B94" s="853"/>
      <c r="C94" s="853"/>
      <c r="D94" s="853"/>
      <c r="E94" s="853"/>
      <c r="F94" s="853"/>
      <c r="G94" s="853"/>
      <c r="H94" s="853"/>
    </row>
    <row r="95" spans="1:15" x14ac:dyDescent="0.2">
      <c r="A95" s="350"/>
      <c r="B95" s="350"/>
      <c r="C95" s="350"/>
      <c r="D95" s="350"/>
      <c r="E95" s="350"/>
      <c r="F95" s="350"/>
      <c r="G95" s="350"/>
      <c r="H95" s="350"/>
    </row>
    <row r="96" spans="1:15" x14ac:dyDescent="0.2">
      <c r="A96" s="350" t="s">
        <v>268</v>
      </c>
      <c r="B96" s="350"/>
      <c r="C96" s="350"/>
      <c r="D96" s="350"/>
      <c r="E96" s="350"/>
      <c r="F96" s="350"/>
      <c r="G96" s="350"/>
      <c r="H96" s="350"/>
    </row>
    <row r="97" spans="1:8" x14ac:dyDescent="0.2">
      <c r="A97" s="435" t="s">
        <v>269</v>
      </c>
      <c r="B97" s="436"/>
      <c r="C97" s="436"/>
      <c r="D97" s="436"/>
      <c r="E97" s="437"/>
      <c r="F97" s="854" t="s">
        <v>270</v>
      </c>
      <c r="G97" s="855"/>
      <c r="H97" s="438"/>
    </row>
    <row r="98" spans="1:8" x14ac:dyDescent="0.2">
      <c r="A98" s="837"/>
      <c r="B98" s="838"/>
      <c r="C98" s="838"/>
      <c r="D98" s="838"/>
      <c r="E98" s="839"/>
      <c r="F98" s="840"/>
      <c r="G98" s="841"/>
      <c r="H98" s="350"/>
    </row>
    <row r="99" spans="1:8" x14ac:dyDescent="0.2">
      <c r="A99" s="837"/>
      <c r="B99" s="838"/>
      <c r="C99" s="838"/>
      <c r="D99" s="838"/>
      <c r="E99" s="839"/>
      <c r="F99" s="840"/>
      <c r="G99" s="841"/>
      <c r="H99" s="350"/>
    </row>
    <row r="100" spans="1:8" x14ac:dyDescent="0.2">
      <c r="A100" s="837"/>
      <c r="B100" s="838"/>
      <c r="C100" s="838"/>
      <c r="D100" s="838"/>
      <c r="E100" s="839"/>
      <c r="F100" s="840"/>
      <c r="G100" s="841"/>
      <c r="H100" s="350"/>
    </row>
    <row r="101" spans="1:8" x14ac:dyDescent="0.2">
      <c r="A101" s="837"/>
      <c r="B101" s="838"/>
      <c r="C101" s="838"/>
      <c r="D101" s="838"/>
      <c r="E101" s="839"/>
      <c r="F101" s="840"/>
      <c r="G101" s="841"/>
      <c r="H101" s="350"/>
    </row>
    <row r="102" spans="1:8" x14ac:dyDescent="0.2">
      <c r="A102" s="837"/>
      <c r="B102" s="838"/>
      <c r="C102" s="838"/>
      <c r="D102" s="838"/>
      <c r="E102" s="839"/>
      <c r="F102" s="840"/>
      <c r="G102" s="841"/>
      <c r="H102" s="350"/>
    </row>
    <row r="103" spans="1:8" x14ac:dyDescent="0.2">
      <c r="A103" s="837"/>
      <c r="B103" s="838"/>
      <c r="C103" s="838"/>
      <c r="D103" s="838"/>
      <c r="E103" s="839"/>
      <c r="F103" s="840"/>
      <c r="G103" s="841"/>
      <c r="H103" s="350"/>
    </row>
  </sheetData>
  <mergeCells count="31">
    <mergeCell ref="A103:E103"/>
    <mergeCell ref="F103:G103"/>
    <mergeCell ref="A100:E100"/>
    <mergeCell ref="F100:G100"/>
    <mergeCell ref="A101:E101"/>
    <mergeCell ref="F101:G101"/>
    <mergeCell ref="A102:E102"/>
    <mergeCell ref="F102:G102"/>
    <mergeCell ref="A99:E99"/>
    <mergeCell ref="F99:G99"/>
    <mergeCell ref="B82:H82"/>
    <mergeCell ref="J82:O86"/>
    <mergeCell ref="A88:C88"/>
    <mergeCell ref="A89:C89"/>
    <mergeCell ref="A90:C90"/>
    <mergeCell ref="A92:I92"/>
    <mergeCell ref="A93:H93"/>
    <mergeCell ref="A94:H94"/>
    <mergeCell ref="F97:G97"/>
    <mergeCell ref="A98:E98"/>
    <mergeCell ref="F98:G98"/>
    <mergeCell ref="A49:C49"/>
    <mergeCell ref="A56:B58"/>
    <mergeCell ref="A78:D78"/>
    <mergeCell ref="J78:O81"/>
    <mergeCell ref="D80:G80"/>
    <mergeCell ref="A1:B1"/>
    <mergeCell ref="C1:G1"/>
    <mergeCell ref="J6:AH6"/>
    <mergeCell ref="J8:R8"/>
    <mergeCell ref="A45:B45"/>
  </mergeCells>
  <conditionalFormatting sqref="A98:G103">
    <cfRule type="expression" dxfId="2" priority="3">
      <formula>$E$78="Yes"</formula>
    </cfRule>
  </conditionalFormatting>
  <conditionalFormatting sqref="A80:I103">
    <cfRule type="expression" dxfId="1" priority="2">
      <formula>$E$78="No"</formula>
    </cfRule>
  </conditionalFormatting>
  <conditionalFormatting sqref="D89:H89">
    <cfRule type="expression" dxfId="0" priority="1">
      <formula>$E$78="Yes"</formula>
    </cfRule>
  </conditionalFormatting>
  <hyperlinks>
    <hyperlink ref="J8" r:id="rId1" display="** Required Budget Justification Template" xr:uid="{00000000-0004-0000-0400-000000000000}"/>
    <hyperlink ref="J8:R8" r:id="rId2" display="Click Here: Required Proposal and Budget Justification Template to be completed" xr:uid="{00000000-0004-0000-0400-000001000000}"/>
  </hyperlinks>
  <pageMargins left="0.7" right="0.7" top="0.75" bottom="0.75" header="0.3" footer="0.3"/>
  <pageSetup scale="83" fitToHeight="0" orientation="portrait" verticalDpi="0" r:id="rId3"/>
  <rowBreaks count="1" manualBreakCount="1">
    <brk id="76"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Worksheet!$F$20:$F$21</xm:f>
          </x14:formula1>
          <xm:sqref>E78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BZ186"/>
  <sheetViews>
    <sheetView zoomScale="115" zoomScaleNormal="115" workbookViewId="0">
      <selection activeCell="L71" sqref="L71"/>
    </sheetView>
  </sheetViews>
  <sheetFormatPr defaultColWidth="9.140625" defaultRowHeight="12.75" x14ac:dyDescent="0.2"/>
  <cols>
    <col min="1" max="1" width="32.7109375" style="5" customWidth="1"/>
    <col min="2" max="2" width="11" style="5" customWidth="1"/>
    <col min="3" max="3" width="10.5703125" style="5" customWidth="1"/>
    <col min="4" max="4" width="10.28515625" style="5" customWidth="1"/>
    <col min="5" max="5" width="11.140625" style="5" customWidth="1"/>
    <col min="6" max="6" width="11.7109375" style="5" bestFit="1" customWidth="1"/>
    <col min="7" max="7" width="12" style="5" bestFit="1" customWidth="1"/>
    <col min="8" max="8" width="12" style="5" customWidth="1"/>
    <col min="9" max="9" width="13.140625" style="5" bestFit="1" customWidth="1"/>
    <col min="10" max="10" width="10.42578125" style="5" customWidth="1"/>
    <col min="11" max="16" width="11" style="5" bestFit="1" customWidth="1"/>
    <col min="17" max="18" width="9.42578125" style="5" bestFit="1" customWidth="1"/>
    <col min="19" max="19" width="9.28515625" style="5" bestFit="1" customWidth="1"/>
    <col min="20" max="22" width="9.42578125" style="5" bestFit="1" customWidth="1"/>
    <col min="23" max="23" width="14" style="5" customWidth="1"/>
    <col min="24" max="25" width="9.42578125" style="5" bestFit="1" customWidth="1"/>
    <col min="26" max="26" width="9.5703125" style="5" bestFit="1" customWidth="1"/>
    <col min="27" max="27" width="9.28515625" style="5" bestFit="1" customWidth="1"/>
    <col min="28" max="28" width="9.5703125" style="5" bestFit="1" customWidth="1"/>
    <col min="29" max="32" width="9.28515625" style="5" bestFit="1" customWidth="1"/>
    <col min="33" max="33" width="9.42578125" style="5" customWidth="1"/>
    <col min="34" max="16384" width="9.140625" style="5"/>
  </cols>
  <sheetData>
    <row r="1" spans="1:21" x14ac:dyDescent="0.2">
      <c r="A1" s="2" t="s">
        <v>119</v>
      </c>
    </row>
    <row r="2" spans="1:21" x14ac:dyDescent="0.2">
      <c r="A2" s="26" t="s">
        <v>120</v>
      </c>
      <c r="B2" s="18" t="s">
        <v>121</v>
      </c>
      <c r="C2" s="18" t="s">
        <v>4</v>
      </c>
      <c r="D2" s="18" t="s">
        <v>5</v>
      </c>
      <c r="E2" s="18" t="s">
        <v>6</v>
      </c>
      <c r="F2" s="18" t="s">
        <v>7</v>
      </c>
      <c r="G2" s="18" t="s">
        <v>122</v>
      </c>
    </row>
    <row r="3" spans="1:21" x14ac:dyDescent="0.2">
      <c r="A3" s="26" t="s">
        <v>10</v>
      </c>
      <c r="B3" s="22">
        <f>Budget!C6</f>
        <v>46204</v>
      </c>
      <c r="C3" s="22">
        <f>IF(Budget!L6=0,(DATE(YEAR(B3),MONTH(B3)+Budget!K6,DAY(B3))),IF(Budget!L6="",(DATE(YEAR(B3),MONTH(B3)+Budget!K6,DAY(B3))),Budget!L5))</f>
        <v>46569</v>
      </c>
      <c r="D3" s="22">
        <f>IF(Budget!M6=0,(DATE(YEAR(C3),MONTH(C3)+Budget!L6,DAY(C3))),IF(Budget!M6="",(DATE(YEAR(C3),MONTH(C3)+Budget!L6,DAY(C3))),Budget!M5))</f>
        <v>46935</v>
      </c>
      <c r="E3" s="22">
        <f>IF(Budget!N6=0,(DATE(YEAR(D3),MONTH(D3)+Budget!M6,DAY(D3))),IF(Budget!N6="",(DATE(YEAR(D3),MONTH(D3)+Budget!M6,DAY(D3))),Budget!N5))</f>
        <v>47300</v>
      </c>
      <c r="F3" s="22">
        <f>IF(Budget!O6=0,(DATE(YEAR(E3),MONTH(E3)+Budget!N6,DAY(E3))),IF(Budget!O6="",(DATE(YEAR(E3),MONTH(E3)+Budget!N6,DAY(E3))),Budget!O5))</f>
        <v>47665</v>
      </c>
      <c r="G3" s="22">
        <f>IF(Budget!P6=0,(DATE(YEAR(F3),MONTH(F3)+Budget!O6,DAY(F3))),IF(Budget!P6="",(DATE(YEAR(F3),MONTH(F3)+Budget!O6,DAY(F3))),Budget!P5))</f>
        <v>48030</v>
      </c>
    </row>
    <row r="4" spans="1:21" x14ac:dyDescent="0.2">
      <c r="A4" s="26" t="s">
        <v>123</v>
      </c>
      <c r="B4" s="23" t="str">
        <f>IF(B12=TRUE,"17/18",IF(C12=TRUE,"18/19",IF(D12=TRUE,"19/20",IF(E12=TRUE,"20/21",IF(F12=TRUE,"21/22",IF(G12=TRUE,"22/23",IF(H12=TRUE,"23/24",IF(I12=TRUE,"24/25",IF(J12=TRUE,"25/26",IF(K12=TRUE,"26/27",IF(L12=TRUE,"27/28",IF(M12=TRUE,"28/29",IF($N$12=TRUE,"29/30",IF(O12=TRUE,"30/31",IF(P12=TRUE,"31/32",IF(Q12=TRUE,"32/33",IF(R12=TRUE,"33/34",IF(S12=TRUE,"34/35",IF(T12=TRUE,"35/36")))))))))))))))))))</f>
        <v>26/27</v>
      </c>
      <c r="C4" s="23" t="str">
        <f>IF(B13=TRUE,"17/18",IF(C13=TRUE,"18/19",IF(D13=TRUE,"19/20",IF(E13=TRUE,"20/21",IF(F13=TRUE,"21/22",IF(G13=TRUE,"22/23", IF(H13=TRUE,"23/24",IF(I13=TRUE,"24/25",IF(J13=TRUE,"25/26",IF(K13=TRUE,"26/27",IF(L13=TRUE,"27/28",IF(M13=TRUE,"28/29",IF($N$13=TRUE,"29/30",IF(O13=TRUE,"30/31",IF(P13=TRUE,"31/32",IF(Q13=TRUE,"32/33",IF(R13=TRUE,"33/34",IF(S13=TRUE,"34/35",IF(T13=TRUE,"35/36")))))))))))))))))))</f>
        <v>27/28</v>
      </c>
      <c r="D4" s="23" t="str">
        <f>IF(B14=TRUE,"17/18",IF(C14=TRUE,"18/19",IF(D14=TRUE,"19/20",IF(E14=TRUE,"20/21",IF(F14=TRUE,"21/22",IF(G14=TRUE,"22/23", IF(H14=TRUE,"23/24",IF(I14=TRUE,"24/25",IF(J14=TRUE,"25/26",IF(K14=TRUE,"26/27",IF(L14=TRUE,"27/28",IF(M14=TRUE,"28/29",IF($N$14=TRUE,"29/30",IF(O14=TRUE,"30/31",IF(P14=TRUE,"31/32",IF(Q14=TRUE,"32/33",IF(R14=TRUE,"33/34",IF(S14=TRUE,"34/35",IF(T14=TRUE,"35/36")))))))))))))))))))</f>
        <v>28/29</v>
      </c>
      <c r="E4" s="23" t="str">
        <f>IF(B15=TRUE,"17/18",IF(C15=TRUE,"18/19",IF(D15=TRUE,"19/20",IF(E15=TRUE,"20/21",IF(F15=TRUE,"21/22",IF(G15=TRUE,"22/23", IF(H15=TRUE,"23/24",IF(I15=TRUE,"24/25",IF(J15=TRUE,"25/26",IF(K15=TRUE,"26/27",IF(L15=TRUE,"27/28",IF(M15=TRUE,"28/29",IF($N$15=TRUE,"29/30",IF(O15=TRUE,"30/31",IF(P15=TRUE,"31/32",IF(Q15=TRUE,"32/33",IF(R15=TRUE,"33/34",IF(S15=TRUE,"34/35",IF(T15=TRUE,"35/36")))))))))))))))))))</f>
        <v>29/30</v>
      </c>
      <c r="F4" s="23" t="str">
        <f>IF(B16=TRUE,"17/18",IF(C16=TRUE,"18/19",IF(D16=TRUE,"19/20",IF(E16=TRUE,"20/21",IF(F16=TRUE,"21/22",IF(G16=TRUE,"22/23", IF(H16=TRUE,"23/24",IF(I16=TRUE,"24/25",IF(J16=TRUE,"25/26",IF(K16=TRUE,"26/27",IF(L16=TRUE,"27/28",IF(M16=TRUE,"28/29",IF($N$16=TRUE,"29/30",IF(O16=TRUE,"30/31",IF(P16=TRUE,"31/32",IF(Q16=TRUE,"32/33",IF(R16=TRUE,"33/34",IF(S16=TRUE,"34/35",IF(T16=TRUE,"35/36")))))))))))))))))))</f>
        <v>30/31</v>
      </c>
      <c r="G4" s="23" t="str">
        <f>IF(B17=TRUE,"17/18",IF(C17=TRUE,"18/19",IF(D17=TRUE,"19/20",IF(E17=TRUE,"20/21",IF(F17=TRUE,"21/22",IF(G17=TRUE,"22/23", IF(H17=TRUE,"23/24",IF(I17=TRUE,"24/25",IF(J17=TRUE,"25/26",IF(K17=TRUE,"26/27",IF(L17=TRUE,"27/28",IF(M17=TRUE,"28/29",IF($N$17=TRUE,"29/30",IF(O17=TRUE,"30/31",IF(P17=TRUE,"31/32",IF(Q17=TRUE,"32/33",IF(R17=TRUE,"33/34",IF(S17=TRUE,"34/35",IF(T17=TRUE,"35/36")))))))))))))))))))</f>
        <v>31/32</v>
      </c>
    </row>
    <row r="5" spans="1:21" x14ac:dyDescent="0.2">
      <c r="A5" s="26" t="s">
        <v>124</v>
      </c>
      <c r="B5" s="27">
        <f>Budget!K6</f>
        <v>12</v>
      </c>
      <c r="C5" s="27">
        <f>Budget!L6</f>
        <v>12</v>
      </c>
      <c r="D5" s="27">
        <f>Budget!M6</f>
        <v>12</v>
      </c>
      <c r="E5" s="27">
        <f>Budget!N6</f>
        <v>12</v>
      </c>
      <c r="F5" s="27">
        <f>Budget!O6</f>
        <v>12</v>
      </c>
      <c r="G5" s="27"/>
    </row>
    <row r="6" spans="1:21" x14ac:dyDescent="0.2">
      <c r="A6" s="26" t="s">
        <v>125</v>
      </c>
      <c r="B6" s="23">
        <f>ROUND(IF(B4="17/18",(12*YEARFRAC(C11,B3,1)),IF(B4="18/19",(12*YEARFRAC(D11,B3,1)),IF(B4="19/20",(12*YEARFRAC(E11,B3,1)),IF(B4="20/21",(12*YEARFRAC(F11,B3,1)),IF(B4="21/22",(12*YEARFRAC(G11,B3,1)),IF(B4="22/23",(12*YEARFRAC(H11,B3,1)),IF(B4="23/24",(12*YEARFRAC(I11,B3,1)),IF(B4="24/25",(12*YEARFRAC(J11,B3,1)),IF(B4="25/26",(12*YEARFRAC(K11,B3,1)), IF(B4="26/27",(12*YEARFRAC(L11,B3,1)),IF(B4="27/28",(12*YEARFRAC(M11,B3,1)),IF(B4="28/29",(12*YEARFRAC(N11,B3,1)),IF(B4="29/30",(12*YEARFRAC(O11,B3,1)),IF(B4="30/31",(12*YEARFRAC(P11,B3,1)),IF(B4="31/32",(12*YEARFRAC(Q11,B3,1)),IF(B4="32/33",(12*YEARFRAC(R11,B3,1)),IF(B4="33/34",(12*YEARFRAC(S11,B3,1)),IF(B4="34/35",(12*YEARFRAC(T11,B3,1)),IF(B4="35/36",(12*YEARFRAC(U11,B3,1))))))))))))))))))))),0)</f>
        <v>12</v>
      </c>
      <c r="C6" s="23">
        <f>ROUND(IF(C4="17/18",(12*YEARFRAC(C11,C3,1)),IF(C4="18/19",(12*YEARFRAC(D11,C3,1)),IF(C4="19/20",(12*YEARFRAC(E11,C3,1)),IF(C4="20/21",(12*YEARFRAC(F11,C3,1)),IF(C4="21/22",(12*YEARFRAC(G11,C3,1)),IF(C4="22/23",(12*YEARFRAC(H11,C3,1)),IF(C4="23/24",(12*YEARFRAC(I11,C3,1)),IF(C4="24/25",(12*YEARFRAC(J11,C3,1)),IF(C4="25/26",(12*YEARFRAC(K11,C3,1)), IF(C4="26/27",(12*YEARFRAC(L11,C3,1)),IF(C4="27/28",(12*YEARFRAC(M11,C3,1)),IF(C4="28/29",(12*YEARFRAC(N11,C3,1)),IF(C4="29/30",(12*YEARFRAC(O11,C3,1)),IF(C4="30/31",(12*YEARFRAC(P11,C3,1)),IF(C4="31/32",(12*YEARFRAC(Q11,C3,1)),IF(C4="32/33",(12*YEARFRAC(R11,C3,1)),IF(C4="33/34",(12*YEARFRAC(S11,C3,1)),IF(C4="34/35",(12*YEARFRAC(T11,C3,1)),IF(C4="35/36",(12*YEARFRAC(U11,C3,1))))))))))))))))))))),0)</f>
        <v>12</v>
      </c>
      <c r="D6" s="23">
        <f>ROUND(IF(D4="17/18",(12*YEARFRAC(C11,D3,1)),IF(D4="18/19",(12*YEARFRAC(D11,D3,1)),IF(D4="19/20",(12*YEARFRAC(E11,D3,1)),IF(D4="20/21",(12*YEARFRAC(F11,D3,1)),IF(D4="21/22",(12*YEARFRAC(G11,D3,1)),IF(D4="22/23",(12*YEARFRAC(H11,D3,1)),IF(D4="23/24",(12*YEARFRAC(I11,D3,1)),IF(D4="24/25",(12*YEARFRAC(J11,D3,1)),IF(D4="25/26",(12*YEARFRAC(K11,D3,1)), IF(D4="26/27",(12*YEARFRAC(L11,D3,1)),IF(D4="27/28",(12*YEARFRAC(M11,D3,1)),IF(D4="28/29",(12*YEARFRAC(N11,D3,1)),IF(D4="29/30",(12*YEARFRAC(O11,D3,1)),IF(D4="30/31",(12*YEARFRAC(P11,D3,1)),IF(D4="31/32",(12*YEARFRAC(Q11,D3,1)),IF(D4="32/33",(12*YEARFRAC(R11,D3,1)),IF(D4="33/34",(12*YEARFRAC(S11,D3,1)),IF(D4="34/35",(12*YEARFRAC(T11,D3,1)),IF(D4="35/36",(12*YEARFRAC(U11,D3,1))))))))))))))))))))),0)</f>
        <v>12</v>
      </c>
      <c r="E6" s="23">
        <f>ROUND(IF(E4="17/18",(12*YEARFRAC(C11,E3,1)),IF(E4="18/19",(12*YEARFRAC(D11,E3,1)),IF(E4="19/20",(12*YEARFRAC(E11,E3,1)),IF(E4="20/21",(12*YEARFRAC(F11,E3,1)),IF(E4="21/22",(12*YEARFRAC(G11,E3,1)),IF(E4="22/23",(12*YEARFRAC(H11,E3,1)),IF(E4="23/24",(12*YEARFRAC(I11,E3,1)),IF(E4="24/25",(12*YEARFRAC(J11,E3,1)),IF(E4="25/26",(12*YEARFRAC(K11,E3,1)), IF(E4="26/27",(12*YEARFRAC(L11,E3,1)),IF(E4="27/28",(12*YEARFRAC(M11,E3,1)),IF(E4="28/29",(12*YEARFRAC(N11,E3,1)),IF(E4="29/30",(12*YEARFRAC(O11,E3,1)),IF(E4="30/31",(12*YEARFRAC(P11,E3,1)),IF(E4="31/32",(12*YEARFRAC(Q11,E3,1)),IF(E4="32/33",(12*YEARFRAC(R11,E3,1)),IF(E4="33/34",(12*YEARFRAC(S11,E3,1)),IF(E4="34/35",(12*YEARFRAC(T11,E3,1)),IF(E4="35/36",(12*YEARFRAC(U11,E3,1))))))))))))))))))))),0)</f>
        <v>12</v>
      </c>
      <c r="F6" s="23">
        <f>ROUND(IF(F4="17/18",(12*YEARFRAC(C11,F3,1)),IF(F4="18/19",(12*YEARFRAC(D11,F3,1)),IF(F4="19/20",(12*YEARFRAC(E11,F3,1)),IF(F4="20/21",(12*YEARFRAC(F11,F3,1)),IF(F4="21/22",(12*YEARFRAC(G11,F3,1)),IF(F4="22/23",(12*YEARFRAC(H11,F3,1)),IF(F4="23/24",(12*YEARFRAC(I11,F3,1)),IF(F4="24/25",(12*YEARFRAC(J11,F3,1)),IF(F4="25/26",(12*YEARFRAC(K11,F3,1)), IF(F4="26/27",(12*YEARFRAC(L11,F3,1)),IF(F4="27/28",(12*YEARFRAC(M11,F3,1)),IF(F4="28/29",(12*YEARFRAC(N11,F3,1)),IF(F4="29/30",(12*YEARFRAC(O11,F3,1)),IF(F4="30/31",(12*YEARFRAC(P11,F3,1)),IF(F4="31/32",(12*YEARFRAC(Q11,F3,1)),IF(F4="32/33",(12*YEARFRAC(R11,F3,1)),IF(F4="33/34",(12*YEARFRAC(S11,F3,1)),IF(F4="34/35",(12*YEARFRAC(T11,F3,1)),IF(F4="35/36",(12*YEARFRAC(U11,F3,1))))))))))))))))))))),0)</f>
        <v>12</v>
      </c>
      <c r="G6" s="23"/>
    </row>
    <row r="7" spans="1:21" x14ac:dyDescent="0.2">
      <c r="A7" s="26" t="s">
        <v>126</v>
      </c>
      <c r="B7" s="27">
        <f>Budget!K6-B6</f>
        <v>0</v>
      </c>
      <c r="C7" s="27">
        <f>Budget!L6-C6</f>
        <v>0</v>
      </c>
      <c r="D7" s="27">
        <f>Budget!M6-D6</f>
        <v>0</v>
      </c>
      <c r="E7" s="27">
        <f>Budget!N6-E6</f>
        <v>0</v>
      </c>
      <c r="F7" s="27">
        <f>Budget!O6-F6</f>
        <v>0</v>
      </c>
      <c r="G7" s="27"/>
    </row>
    <row r="8" spans="1:21" ht="12.75" customHeight="1" x14ac:dyDescent="0.2"/>
    <row r="9" spans="1:21" ht="12.75" customHeight="1" x14ac:dyDescent="0.2">
      <c r="A9" s="172" t="s">
        <v>29</v>
      </c>
      <c r="B9" s="23">
        <v>1</v>
      </c>
      <c r="C9" s="27">
        <v>2</v>
      </c>
      <c r="D9" s="23">
        <v>3</v>
      </c>
      <c r="E9" s="23">
        <v>4</v>
      </c>
      <c r="F9" s="23">
        <v>5</v>
      </c>
      <c r="G9" s="23">
        <v>6</v>
      </c>
      <c r="H9" s="23">
        <v>7</v>
      </c>
      <c r="I9" s="23">
        <v>8</v>
      </c>
      <c r="J9" s="23">
        <v>9</v>
      </c>
      <c r="K9" s="23">
        <v>10</v>
      </c>
      <c r="L9" s="23">
        <v>11</v>
      </c>
      <c r="M9" s="23">
        <v>12</v>
      </c>
      <c r="N9" s="23">
        <v>13</v>
      </c>
      <c r="O9" s="23">
        <v>14</v>
      </c>
      <c r="P9" s="23">
        <v>15</v>
      </c>
      <c r="Q9" s="23">
        <v>16</v>
      </c>
      <c r="R9" s="23">
        <v>17</v>
      </c>
      <c r="S9" s="23">
        <v>18</v>
      </c>
      <c r="T9" s="23">
        <v>19</v>
      </c>
      <c r="U9" s="23">
        <v>20</v>
      </c>
    </row>
    <row r="10" spans="1:21" ht="12.75" customHeight="1" x14ac:dyDescent="0.2">
      <c r="A10" s="93"/>
      <c r="B10" s="94" t="s">
        <v>127</v>
      </c>
      <c r="C10" s="95" t="s">
        <v>128</v>
      </c>
      <c r="D10" s="94" t="s">
        <v>129</v>
      </c>
      <c r="E10" s="94" t="s">
        <v>130</v>
      </c>
      <c r="F10" s="94" t="s">
        <v>131</v>
      </c>
      <c r="G10" s="94" t="s">
        <v>132</v>
      </c>
      <c r="H10" s="94" t="s">
        <v>133</v>
      </c>
      <c r="I10" s="94" t="s">
        <v>134</v>
      </c>
      <c r="J10" s="94" t="s">
        <v>135</v>
      </c>
      <c r="K10" s="94" t="s">
        <v>136</v>
      </c>
      <c r="L10" s="94" t="s">
        <v>137</v>
      </c>
      <c r="M10" s="94" t="s">
        <v>138</v>
      </c>
      <c r="N10" s="94" t="s">
        <v>139</v>
      </c>
      <c r="O10" s="94" t="s">
        <v>140</v>
      </c>
      <c r="P10" s="94" t="s">
        <v>141</v>
      </c>
      <c r="Q10" s="94" t="s">
        <v>142</v>
      </c>
      <c r="R10" s="94" t="s">
        <v>334</v>
      </c>
      <c r="S10" s="94" t="s">
        <v>335</v>
      </c>
      <c r="T10" s="94" t="s">
        <v>336</v>
      </c>
      <c r="U10" s="94" t="s">
        <v>337</v>
      </c>
    </row>
    <row r="11" spans="1:21" ht="12.75" customHeight="1" x14ac:dyDescent="0.2">
      <c r="A11" s="18"/>
      <c r="B11" s="30">
        <v>42917</v>
      </c>
      <c r="C11" s="30">
        <v>43282</v>
      </c>
      <c r="D11" s="30">
        <v>43647</v>
      </c>
      <c r="E11" s="30">
        <v>44013</v>
      </c>
      <c r="F11" s="30">
        <v>44378</v>
      </c>
      <c r="G11" s="30">
        <v>44743</v>
      </c>
      <c r="H11" s="30">
        <v>45108</v>
      </c>
      <c r="I11" s="30">
        <v>45474</v>
      </c>
      <c r="J11" s="30">
        <v>45839</v>
      </c>
      <c r="K11" s="30">
        <v>46204</v>
      </c>
      <c r="L11" s="30">
        <v>46569</v>
      </c>
      <c r="M11" s="30">
        <v>46935</v>
      </c>
      <c r="N11" s="30">
        <v>47300</v>
      </c>
      <c r="O11" s="30">
        <v>47665</v>
      </c>
      <c r="P11" s="30">
        <v>48030</v>
      </c>
      <c r="Q11" s="30">
        <v>48396</v>
      </c>
      <c r="R11" s="30">
        <v>48761</v>
      </c>
      <c r="S11" s="30">
        <v>49126</v>
      </c>
      <c r="T11" s="30">
        <v>49491</v>
      </c>
      <c r="U11" s="30">
        <v>49857</v>
      </c>
    </row>
    <row r="12" spans="1:21" ht="12.75" customHeight="1" x14ac:dyDescent="0.2">
      <c r="A12" s="18" t="s">
        <v>121</v>
      </c>
      <c r="B12" s="18" t="b">
        <f>AND($B$3&gt;=B11,$B$3&lt;C11)</f>
        <v>0</v>
      </c>
      <c r="C12" s="18" t="b">
        <f t="shared" ref="C12:E12" si="0">AND($B$3&gt;=C11,$B$3&lt;D11)</f>
        <v>0</v>
      </c>
      <c r="D12" s="18" t="b">
        <f>AND($B$3&gt;=D11,$B$3&lt;E11)</f>
        <v>0</v>
      </c>
      <c r="E12" s="18" t="b">
        <f t="shared" si="0"/>
        <v>0</v>
      </c>
      <c r="F12" s="18" t="b">
        <f t="shared" ref="F12:J12" si="1">AND($B$3&gt;=F11,$B$3&lt;G11)</f>
        <v>0</v>
      </c>
      <c r="G12" s="18" t="b">
        <f t="shared" si="1"/>
        <v>0</v>
      </c>
      <c r="H12" s="18" t="b">
        <f t="shared" si="1"/>
        <v>0</v>
      </c>
      <c r="I12" s="18" t="b">
        <f t="shared" si="1"/>
        <v>0</v>
      </c>
      <c r="J12" s="18" t="b">
        <f t="shared" si="1"/>
        <v>0</v>
      </c>
      <c r="K12" s="18" t="b">
        <f>AND($B$3&gt;=K11,$B$3&lt;L11)</f>
        <v>1</v>
      </c>
      <c r="L12" s="18" t="b">
        <f>AND($B$3&gt;=L11,$B$3&lt;M11)</f>
        <v>0</v>
      </c>
      <c r="M12" s="18" t="b">
        <f>AND($B$3&gt;=M11,$B$3&lt;$N$11)</f>
        <v>0</v>
      </c>
      <c r="N12" s="18" t="b">
        <f>AND($B$3&gt;=$N$11,$B$3&lt;O11)</f>
        <v>0</v>
      </c>
      <c r="O12" s="18" t="b">
        <f t="shared" ref="O12:T12" si="2">AND($B$3&gt;=O11,$B$3&lt;P11)</f>
        <v>0</v>
      </c>
      <c r="P12" s="18" t="b">
        <f t="shared" si="2"/>
        <v>0</v>
      </c>
      <c r="Q12" s="18" t="b">
        <f t="shared" si="2"/>
        <v>0</v>
      </c>
      <c r="R12" s="18" t="b">
        <f t="shared" si="2"/>
        <v>0</v>
      </c>
      <c r="S12" s="18" t="b">
        <f t="shared" si="2"/>
        <v>0</v>
      </c>
      <c r="T12" s="18" t="b">
        <f t="shared" si="2"/>
        <v>0</v>
      </c>
      <c r="U12" s="18"/>
    </row>
    <row r="13" spans="1:21" ht="12.75" customHeight="1" x14ac:dyDescent="0.2">
      <c r="A13" s="18" t="s">
        <v>4</v>
      </c>
      <c r="B13" s="18" t="b">
        <f>AND($C$3&gt;=B11,$C$3&lt;C11)</f>
        <v>0</v>
      </c>
      <c r="C13" s="18" t="b">
        <f>AND($C$3&gt;=C11,$C$3&lt;D11)</f>
        <v>0</v>
      </c>
      <c r="D13" s="18" t="b">
        <f t="shared" ref="D13" si="3">AND($C$3&gt;=D11,$C$3&lt;E11)</f>
        <v>0</v>
      </c>
      <c r="E13" s="18" t="b">
        <f t="shared" ref="E13:J13" si="4">AND($C$3&gt;=E11,$C$3&lt;F11)</f>
        <v>0</v>
      </c>
      <c r="F13" s="18" t="b">
        <f t="shared" si="4"/>
        <v>0</v>
      </c>
      <c r="G13" s="18" t="b">
        <f t="shared" si="4"/>
        <v>0</v>
      </c>
      <c r="H13" s="18" t="b">
        <f t="shared" si="4"/>
        <v>0</v>
      </c>
      <c r="I13" s="18" t="b">
        <f t="shared" si="4"/>
        <v>0</v>
      </c>
      <c r="J13" s="18" t="b">
        <f t="shared" si="4"/>
        <v>0</v>
      </c>
      <c r="K13" s="18" t="b">
        <f>AND($C$3&gt;=K11,$C$3&lt;L11)</f>
        <v>0</v>
      </c>
      <c r="L13" s="18" t="b">
        <f>AND($C$3&gt;=L11,$C$3&lt;M11)</f>
        <v>1</v>
      </c>
      <c r="M13" s="18" t="b">
        <f>AND($C$3&gt;=M11,$C$3&lt;$N$11)</f>
        <v>0</v>
      </c>
      <c r="N13" s="18" t="b">
        <f>AND($C$3&gt;=$N$11,$C$3&lt;O11)</f>
        <v>0</v>
      </c>
      <c r="O13" s="18" t="b">
        <f t="shared" ref="O13:T13" si="5">AND($C$3&gt;=O11,$C$3&lt;P11)</f>
        <v>0</v>
      </c>
      <c r="P13" s="18" t="b">
        <f t="shared" si="5"/>
        <v>0</v>
      </c>
      <c r="Q13" s="18" t="b">
        <f t="shared" si="5"/>
        <v>0</v>
      </c>
      <c r="R13" s="18" t="b">
        <f t="shared" si="5"/>
        <v>0</v>
      </c>
      <c r="S13" s="18" t="b">
        <f t="shared" si="5"/>
        <v>0</v>
      </c>
      <c r="T13" s="18" t="b">
        <f t="shared" si="5"/>
        <v>0</v>
      </c>
      <c r="U13" s="18"/>
    </row>
    <row r="14" spans="1:21" ht="12.75" customHeight="1" x14ac:dyDescent="0.2">
      <c r="A14" s="18" t="s">
        <v>5</v>
      </c>
      <c r="B14" s="18" t="b">
        <f>AND($D$3&gt;=B11,$D$3&lt;C11)</f>
        <v>0</v>
      </c>
      <c r="C14" s="18" t="b">
        <f t="shared" ref="C14:E14" si="6">AND($D$3&gt;=C11,$D$3&lt;D11)</f>
        <v>0</v>
      </c>
      <c r="D14" s="18" t="b">
        <f>AND($D$3&gt;=D11,$D$3&lt;E11)</f>
        <v>0</v>
      </c>
      <c r="E14" s="18" t="b">
        <f t="shared" si="6"/>
        <v>0</v>
      </c>
      <c r="F14" s="18" t="b">
        <f t="shared" ref="F14:J14" si="7">AND($D$3&gt;=F11,$D$3&lt;G11)</f>
        <v>0</v>
      </c>
      <c r="G14" s="18" t="b">
        <f t="shared" si="7"/>
        <v>0</v>
      </c>
      <c r="H14" s="18" t="b">
        <f t="shared" si="7"/>
        <v>0</v>
      </c>
      <c r="I14" s="18" t="b">
        <f t="shared" si="7"/>
        <v>0</v>
      </c>
      <c r="J14" s="18" t="b">
        <f t="shared" si="7"/>
        <v>0</v>
      </c>
      <c r="K14" s="18" t="b">
        <f>AND($D$3&gt;=K11,$D$3&lt;L11)</f>
        <v>0</v>
      </c>
      <c r="L14" s="18" t="b">
        <f>AND($D$3&gt;=L11,$D$3&lt;M11)</f>
        <v>0</v>
      </c>
      <c r="M14" s="18" t="b">
        <f>AND($D$3&gt;=M11,$D$3&lt;$N$11)</f>
        <v>1</v>
      </c>
      <c r="N14" s="18" t="b">
        <f>AND($D$3&gt;=$N$11,$D$3&lt;O11)</f>
        <v>0</v>
      </c>
      <c r="O14" s="18" t="b">
        <f>AND($D$3&gt;=O11,$D$3&lt;P11)</f>
        <v>0</v>
      </c>
      <c r="P14" s="18" t="b">
        <f>AND($D$3&gt;=P11,$D$3&lt;Q11)</f>
        <v>0</v>
      </c>
      <c r="Q14" s="18" t="b">
        <f>AND($D$3&gt;=Q11,$D$3&lt;R11)</f>
        <v>0</v>
      </c>
      <c r="R14" s="18" t="b">
        <f>AND($D$3&gt;=R11,$D$3&lt;S11)</f>
        <v>0</v>
      </c>
      <c r="S14" s="18" t="b">
        <f t="shared" ref="S14" si="8">AND($D$3&gt;=S11,$D$3&lt;T11)</f>
        <v>0</v>
      </c>
      <c r="T14" s="18" t="b">
        <f>AND($D$3&gt;=T11,$D$3&lt;U11)</f>
        <v>0</v>
      </c>
      <c r="U14" s="18"/>
    </row>
    <row r="15" spans="1:21" ht="12.75" customHeight="1" x14ac:dyDescent="0.2">
      <c r="A15" s="18" t="s">
        <v>6</v>
      </c>
      <c r="B15" s="18" t="b">
        <f>AND($E$3&gt;=B11,$E$3&lt;C11)</f>
        <v>0</v>
      </c>
      <c r="C15" s="18" t="b">
        <f t="shared" ref="C15:E15" si="9">AND($E$3&gt;=C11,$E$3&lt;D11)</f>
        <v>0</v>
      </c>
      <c r="D15" s="18" t="b">
        <f t="shared" si="9"/>
        <v>0</v>
      </c>
      <c r="E15" s="18" t="b">
        <f t="shared" si="9"/>
        <v>0</v>
      </c>
      <c r="F15" s="18" t="b">
        <f t="shared" ref="F15:K15" si="10">AND($E$3&gt;=F11,$E$3&lt;G11)</f>
        <v>0</v>
      </c>
      <c r="G15" s="18" t="b">
        <f t="shared" si="10"/>
        <v>0</v>
      </c>
      <c r="H15" s="18" t="b">
        <f t="shared" si="10"/>
        <v>0</v>
      </c>
      <c r="I15" s="18" t="b">
        <f t="shared" si="10"/>
        <v>0</v>
      </c>
      <c r="J15" s="18" t="b">
        <f t="shared" si="10"/>
        <v>0</v>
      </c>
      <c r="K15" s="18" t="b">
        <f t="shared" si="10"/>
        <v>0</v>
      </c>
      <c r="L15" s="18" t="b">
        <f>AND($E$3&gt;=L11,$E$3&lt;M11)</f>
        <v>0</v>
      </c>
      <c r="M15" s="18" t="b">
        <f>AND($E$3&gt;=M11,$E$3&lt;$N$11)</f>
        <v>0</v>
      </c>
      <c r="N15" s="18" t="b">
        <f>AND($E$3&gt;=$N$11,$E$3&lt;O11)</f>
        <v>1</v>
      </c>
      <c r="O15" s="18" t="b">
        <f t="shared" ref="O15:T15" si="11">AND($E$3&gt;=O11,$E$3&lt;P11)</f>
        <v>0</v>
      </c>
      <c r="P15" s="18" t="b">
        <f t="shared" si="11"/>
        <v>0</v>
      </c>
      <c r="Q15" s="18" t="b">
        <f t="shared" si="11"/>
        <v>0</v>
      </c>
      <c r="R15" s="18" t="b">
        <f t="shared" si="11"/>
        <v>0</v>
      </c>
      <c r="S15" s="18" t="b">
        <f t="shared" si="11"/>
        <v>0</v>
      </c>
      <c r="T15" s="18" t="b">
        <f t="shared" si="11"/>
        <v>0</v>
      </c>
      <c r="U15" s="18"/>
    </row>
    <row r="16" spans="1:21" ht="12.75" customHeight="1" x14ac:dyDescent="0.2">
      <c r="A16" s="18" t="s">
        <v>7</v>
      </c>
      <c r="B16" s="18" t="b">
        <f>AND($F$3&gt;=B11,$F$3&lt;C11)</f>
        <v>0</v>
      </c>
      <c r="C16" s="18" t="b">
        <f t="shared" ref="C16:E16" si="12">AND($F$3&gt;=C11,$F$3&lt;D11)</f>
        <v>0</v>
      </c>
      <c r="D16" s="18" t="b">
        <f t="shared" si="12"/>
        <v>0</v>
      </c>
      <c r="E16" s="18" t="b">
        <f t="shared" si="12"/>
        <v>0</v>
      </c>
      <c r="F16" s="18" t="b">
        <f t="shared" ref="F16:L16" si="13">AND($F$3&gt;=F11,$F$3&lt;G11)</f>
        <v>0</v>
      </c>
      <c r="G16" s="18" t="b">
        <f t="shared" si="13"/>
        <v>0</v>
      </c>
      <c r="H16" s="18" t="b">
        <f t="shared" si="13"/>
        <v>0</v>
      </c>
      <c r="I16" s="18" t="b">
        <f t="shared" si="13"/>
        <v>0</v>
      </c>
      <c r="J16" s="18" t="b">
        <f t="shared" si="13"/>
        <v>0</v>
      </c>
      <c r="K16" s="18" t="b">
        <f t="shared" si="13"/>
        <v>0</v>
      </c>
      <c r="L16" s="18" t="b">
        <f t="shared" si="13"/>
        <v>0</v>
      </c>
      <c r="M16" s="18" t="b">
        <f>AND($F$3&gt;=M11,$F$3&lt;$N$11)</f>
        <v>0</v>
      </c>
      <c r="N16" s="18" t="b">
        <f>AND($F$3&gt;=$N$11,$F$3&lt;O11)</f>
        <v>0</v>
      </c>
      <c r="O16" s="18" t="b">
        <f t="shared" ref="O16:T16" si="14">AND($F$3&gt;=O11,$F$3&lt;P11)</f>
        <v>1</v>
      </c>
      <c r="P16" s="18" t="b">
        <f t="shared" si="14"/>
        <v>0</v>
      </c>
      <c r="Q16" s="18" t="b">
        <f t="shared" si="14"/>
        <v>0</v>
      </c>
      <c r="R16" s="18" t="b">
        <f t="shared" si="14"/>
        <v>0</v>
      </c>
      <c r="S16" s="18" t="b">
        <f t="shared" si="14"/>
        <v>0</v>
      </c>
      <c r="T16" s="18" t="b">
        <f t="shared" si="14"/>
        <v>0</v>
      </c>
      <c r="U16" s="18"/>
    </row>
    <row r="17" spans="1:21" ht="12.75" customHeight="1" x14ac:dyDescent="0.2">
      <c r="A17" s="18" t="s">
        <v>122</v>
      </c>
      <c r="B17" s="18" t="b">
        <f t="shared" ref="B17:E17" si="15">AND($G$3&gt;=B11,$G$3&lt;C11)</f>
        <v>0</v>
      </c>
      <c r="C17" s="18" t="b">
        <f t="shared" si="15"/>
        <v>0</v>
      </c>
      <c r="D17" s="18" t="b">
        <f t="shared" si="15"/>
        <v>0</v>
      </c>
      <c r="E17" s="18" t="b">
        <f t="shared" si="15"/>
        <v>0</v>
      </c>
      <c r="F17" s="18" t="b">
        <f t="shared" ref="F17:K17" si="16">AND($G$3&gt;=F11,$G$3&lt;G11)</f>
        <v>0</v>
      </c>
      <c r="G17" s="18" t="b">
        <f t="shared" si="16"/>
        <v>0</v>
      </c>
      <c r="H17" s="18" t="b">
        <f t="shared" si="16"/>
        <v>0</v>
      </c>
      <c r="I17" s="18" t="b">
        <f t="shared" si="16"/>
        <v>0</v>
      </c>
      <c r="J17" s="18" t="b">
        <f>AND($G$3&gt;=J11,$G$3&lt;K11)</f>
        <v>0</v>
      </c>
      <c r="K17" s="18" t="b">
        <f t="shared" si="16"/>
        <v>0</v>
      </c>
      <c r="L17" s="18" t="b">
        <f>AND($G$3&gt;=L11,$G$3&lt;M11)</f>
        <v>0</v>
      </c>
      <c r="M17" s="18" t="b">
        <f>AND($G$3&gt;=M11,$G$3&lt;$N$11)</f>
        <v>0</v>
      </c>
      <c r="N17" s="18" t="b">
        <f>AND($G$3&gt;=$N$11,$G$3&lt;O11)</f>
        <v>0</v>
      </c>
      <c r="O17" s="18" t="b">
        <f t="shared" ref="O17:T17" si="17">AND($G$3&gt;=O11,$G$3&lt;P11)</f>
        <v>0</v>
      </c>
      <c r="P17" s="18" t="b">
        <f t="shared" si="17"/>
        <v>1</v>
      </c>
      <c r="Q17" s="18" t="b">
        <f t="shared" si="17"/>
        <v>0</v>
      </c>
      <c r="R17" s="18" t="b">
        <f t="shared" si="17"/>
        <v>0</v>
      </c>
      <c r="S17" s="18" t="b">
        <f t="shared" si="17"/>
        <v>0</v>
      </c>
      <c r="T17" s="18" t="b">
        <f t="shared" si="17"/>
        <v>0</v>
      </c>
      <c r="U17" s="18"/>
    </row>
    <row r="18" spans="1:21" ht="12.75" customHeight="1" x14ac:dyDescent="0.2"/>
    <row r="19" spans="1:21" ht="12.75" customHeight="1" x14ac:dyDescent="0.2">
      <c r="A19" s="3" t="s">
        <v>143</v>
      </c>
      <c r="C19" s="3" t="s">
        <v>17</v>
      </c>
      <c r="D19" s="18"/>
      <c r="F19" s="4" t="s">
        <v>144</v>
      </c>
      <c r="H19" s="4" t="s">
        <v>145</v>
      </c>
      <c r="J19" s="204" t="s">
        <v>219</v>
      </c>
    </row>
    <row r="20" spans="1:21" ht="12.75" customHeight="1" x14ac:dyDescent="0.2">
      <c r="A20" s="18">
        <v>0</v>
      </c>
      <c r="C20" s="18" t="s">
        <v>29</v>
      </c>
      <c r="D20" s="31">
        <v>0</v>
      </c>
      <c r="F20" s="18" t="s">
        <v>0</v>
      </c>
      <c r="H20" s="18" t="s">
        <v>88</v>
      </c>
      <c r="J20" s="18" t="str">
        <f>""</f>
        <v/>
      </c>
    </row>
    <row r="21" spans="1:21" ht="12.75" customHeight="1" x14ac:dyDescent="0.2">
      <c r="A21" s="18">
        <v>1</v>
      </c>
      <c r="C21" s="18" t="s">
        <v>146</v>
      </c>
      <c r="D21" s="31">
        <v>0.01</v>
      </c>
      <c r="F21" s="18" t="s">
        <v>147</v>
      </c>
      <c r="H21" s="18" t="s">
        <v>91</v>
      </c>
      <c r="J21" s="205">
        <v>1</v>
      </c>
    </row>
    <row r="22" spans="1:21" ht="12.75" customHeight="1" x14ac:dyDescent="0.2">
      <c r="A22" s="18">
        <v>2</v>
      </c>
      <c r="D22" s="31">
        <v>0.02</v>
      </c>
      <c r="J22" s="205">
        <v>2</v>
      </c>
    </row>
    <row r="23" spans="1:21" ht="12.75" customHeight="1" x14ac:dyDescent="0.2">
      <c r="A23" s="18">
        <v>3</v>
      </c>
      <c r="D23" s="31">
        <v>0.03</v>
      </c>
      <c r="J23" s="205">
        <v>3</v>
      </c>
    </row>
    <row r="24" spans="1:21" ht="12.75" customHeight="1" x14ac:dyDescent="0.2">
      <c r="A24" s="18">
        <v>4</v>
      </c>
      <c r="D24" s="31">
        <v>0.04</v>
      </c>
      <c r="J24" s="205">
        <v>4</v>
      </c>
    </row>
    <row r="25" spans="1:21" ht="12.75" customHeight="1" x14ac:dyDescent="0.2">
      <c r="A25" s="18">
        <v>5</v>
      </c>
      <c r="D25" s="31">
        <v>0.05</v>
      </c>
      <c r="J25" s="18">
        <v>5</v>
      </c>
    </row>
    <row r="26" spans="1:21" ht="12.75" customHeight="1" x14ac:dyDescent="0.2">
      <c r="A26" s="18">
        <v>6</v>
      </c>
      <c r="D26" s="31">
        <v>0.06</v>
      </c>
      <c r="J26" s="18">
        <v>6</v>
      </c>
    </row>
    <row r="27" spans="1:21" ht="12.75" customHeight="1" x14ac:dyDescent="0.2">
      <c r="A27" s="18">
        <v>7</v>
      </c>
      <c r="D27" s="31">
        <v>7.0000000000000007E-2</v>
      </c>
    </row>
    <row r="28" spans="1:21" ht="12.75" customHeight="1" x14ac:dyDescent="0.2">
      <c r="A28" s="18">
        <v>8</v>
      </c>
    </row>
    <row r="29" spans="1:21" ht="12.75" customHeight="1" x14ac:dyDescent="0.2">
      <c r="A29" s="18">
        <v>9</v>
      </c>
    </row>
    <row r="30" spans="1:21" ht="12.75" customHeight="1" x14ac:dyDescent="0.2">
      <c r="A30" s="18">
        <v>10</v>
      </c>
    </row>
    <row r="31" spans="1:21" ht="12.75" customHeight="1" x14ac:dyDescent="0.2">
      <c r="A31" s="18">
        <v>11</v>
      </c>
    </row>
    <row r="32" spans="1:21" ht="12.75" customHeight="1" x14ac:dyDescent="0.2">
      <c r="A32" s="18">
        <v>12</v>
      </c>
    </row>
    <row r="33" spans="1:33" ht="12.75" customHeight="1" x14ac:dyDescent="0.2"/>
    <row r="34" spans="1:33" ht="12.75" customHeight="1" thickBot="1" x14ac:dyDescent="0.25">
      <c r="A34" s="2" t="s">
        <v>148</v>
      </c>
      <c r="U34" s="106"/>
    </row>
    <row r="35" spans="1:33" ht="12.75" customHeight="1" thickBot="1" x14ac:dyDescent="0.25">
      <c r="A35" s="18"/>
      <c r="B35" s="32"/>
      <c r="C35" s="33" t="s">
        <v>149</v>
      </c>
      <c r="D35" s="34"/>
      <c r="E35" s="35"/>
      <c r="F35" s="36"/>
      <c r="G35" s="35"/>
      <c r="H35" s="35"/>
      <c r="I35" s="37" t="s">
        <v>150</v>
      </c>
      <c r="J35" s="35"/>
      <c r="K35" s="35"/>
      <c r="L35" s="35"/>
      <c r="M35" s="38"/>
      <c r="N35" s="39" t="s">
        <v>151</v>
      </c>
      <c r="O35" s="40"/>
      <c r="P35" s="41"/>
      <c r="Q35" s="42"/>
      <c r="R35" s="35"/>
      <c r="S35" s="38"/>
      <c r="W35" s="200"/>
      <c r="X35" s="159"/>
      <c r="Z35" s="62"/>
      <c r="AC35" s="106"/>
    </row>
    <row r="36" spans="1:33" ht="12.75" customHeight="1" x14ac:dyDescent="0.2">
      <c r="A36" s="18" t="s">
        <v>152</v>
      </c>
      <c r="B36" s="32" t="s">
        <v>153</v>
      </c>
      <c r="C36" s="43" t="s">
        <v>154</v>
      </c>
      <c r="D36" s="44" t="s">
        <v>155</v>
      </c>
      <c r="E36" s="45" t="s">
        <v>156</v>
      </c>
      <c r="F36" s="46" t="s">
        <v>157</v>
      </c>
      <c r="G36" s="46" t="s">
        <v>158</v>
      </c>
      <c r="H36" s="46" t="s">
        <v>159</v>
      </c>
      <c r="I36" s="43" t="s">
        <v>154</v>
      </c>
      <c r="J36" s="44" t="s">
        <v>155</v>
      </c>
      <c r="K36" s="45" t="s">
        <v>156</v>
      </c>
      <c r="L36" s="46" t="s">
        <v>157</v>
      </c>
      <c r="M36" s="47" t="s">
        <v>158</v>
      </c>
      <c r="N36" s="48" t="s">
        <v>160</v>
      </c>
      <c r="O36" s="49" t="s">
        <v>155</v>
      </c>
      <c r="P36" s="49" t="s">
        <v>156</v>
      </c>
      <c r="Q36" s="49" t="s">
        <v>157</v>
      </c>
      <c r="R36" s="49" t="s">
        <v>158</v>
      </c>
      <c r="S36" s="50" t="s">
        <v>159</v>
      </c>
      <c r="W36" s="28"/>
      <c r="X36" s="71"/>
      <c r="Y36" s="72"/>
      <c r="Z36" s="28"/>
      <c r="AA36" s="28"/>
      <c r="AB36" s="28"/>
      <c r="AC36" s="28"/>
      <c r="AD36" s="71"/>
      <c r="AE36" s="72"/>
      <c r="AF36" s="28"/>
      <c r="AG36" s="28"/>
    </row>
    <row r="37" spans="1:33" ht="12.75" customHeight="1" x14ac:dyDescent="0.2">
      <c r="A37" s="18">
        <f>Budget!A11</f>
        <v>1</v>
      </c>
      <c r="B37" s="21">
        <f>(1+Budget!J11)</f>
        <v>1.04</v>
      </c>
      <c r="C37" s="24">
        <f>ROUND(Budget!C11,0)</f>
        <v>0</v>
      </c>
      <c r="D37" s="51">
        <f>ROUND(IF($O$38=0,Budget!C11,Budget!C11*B37),0)</f>
        <v>0</v>
      </c>
      <c r="E37" s="51">
        <f>ROUND(IF($P$38=0,Budget!C11,IF($P$38=1,Budget!C11*B37,IF($P$38=2,Budget!C11*B37*B37))),0)</f>
        <v>0</v>
      </c>
      <c r="F37" s="51">
        <f>ROUND(IF($Q$38=0,Budget!C11,IF($Q$38=1,Budget!C11*B37,IF($Q$38=2,Budget!C11*B37*B37,IF($Q$38=3,Budget!C11*B37*B37*B37)))),0)</f>
        <v>0</v>
      </c>
      <c r="G37" s="51">
        <f>ROUND(IF($R$38=0,Budget!C11,IF($R$38=1,Budget!C11*B37,IF($R$38=2,Budget!C11*B37*B37,IF($R$38=3,Budget!C11*B37*B37*B37,IF($R$38=4,Budget!C11*B37*B37*B37*B37,IF($R$38=5,Budget!C11*B37*B37*B37*B37*B37)))))),0)</f>
        <v>0</v>
      </c>
      <c r="H37" s="51">
        <f>ROUND(IF($S$38=0,Budget!C11,IF($S$38=1,Budget!C11*B37,IF($S$38=2,Budget!C11*B37*B37,IF($S$38=3,Budget!C11*B37*B37*B37,IF($S$38=4,Budget!C11*B37*B37*B37*B37,IF($S$38=5,Budget!C11*B37*B37*B37*B37*B37,IF($S$38=6,Budget!C11*B37*B37*B37*B37*B37*B37))))))),0)</f>
        <v>0</v>
      </c>
      <c r="I37" s="24">
        <f>ROUND(IF($B$6=12,(C37*Budget!D11/12*Budget!$K$6),IF(Budget!$K$6-$B$6&lt;0,(C37*Budget!D11/12*Budget!$K$6),(C37*Budget!D11/12*$B$6)+(D37*Budget!D11/12*$B$7))),0)</f>
        <v>0</v>
      </c>
      <c r="J37" s="24">
        <f>ROUND(IF($C$6=12,(D37*Budget!E11/12*Budget!$L$6),IF(Budget!$L$6-$C$6&lt;0,(D37*Budget!E11/12*Budget!$L$6),(D37*Budget!E11/12*$C$6)+(E37*Budget!E11/12*$C$7))),0)</f>
        <v>0</v>
      </c>
      <c r="K37" s="24">
        <f>ROUND(IF($D$6=12,(E37*Budget!F11/12*Budget!$M$6),IF(Budget!$M$6-$D$6&lt;0,(E37*Budget!F11/12*Budget!$M$6),(E37*Budget!F11/12*$D$6)+(F37*Budget!F11/12*$D$7))),0)</f>
        <v>0</v>
      </c>
      <c r="L37" s="24">
        <f>ROUND(IF($E$6=12,(F37*Budget!G11/12*Budget!$N$6),IF(Budget!$N$6-$E$6&lt;0,(F37*Budget!G11/12*Budget!$N$6),(F37*Budget!G11/12*$E$6)+(G37*Budget!G11/12*$E$7))),0)</f>
        <v>0</v>
      </c>
      <c r="M37" s="25">
        <f>ROUND(IF($F$6=12,(G37*Budget!H11/12*Budget!$O$6),IF(Budget!$O$6-$F$6&lt;0,(G37*Budget!H11/12*Budget!$O$6),(G37*Budget!H11/12*$F$6)+(H37*Budget!H11/12*$F$7))),0)</f>
        <v>0</v>
      </c>
      <c r="N37" s="52">
        <f>IF($B$4=$B$10,$B$9,IF($B$4=$C$10,$C$9,IF($B$4=$D$10,$D$9,IF($B$4=$E$10,$E$9,IF($B$4=$F$10,$F$9,IF($B$4=$G$10,$G$9,IF($B$4=$H$10,$H$9,IF($B$4=$I$10,$I$9,IF($B$4=$J$10,$J$9,IF($B$4=$K$10,$K$9,IF($B$4=$L$10,$L$9,IF($B$4=$M$10,$M$9,IF($B$4=$N$10,$N$9,IF($B$4=$O$10,$O$9,IF($B$4=$P$10,$P$9,IF($B$4=$Q$10,$Q$9,IF($B$4=$R$10,$R$9,IF($B$4=$S$10,$S$9,IF($B$4=$T$10,$T$9,IF($B$4=$U$10,$U$9))))))))))))))))))))</f>
        <v>10</v>
      </c>
      <c r="O37" s="18">
        <f>IF($C$4=$B$10,$B$9,IF($C$4=$C$10,$C$9,IF($C$4=$D$10,$D$9,IF($C$4=$E$10,$E$9,IF($C$4=$F$10,$F$9,IF($C$4=$G$10,$G$9,IF($C$4=$H$10,$H$9,IF($C$4=$I$10,$I$9,IF($C$4=$J$10,$J$9,IF($C$4=$K$10,$K$9,IF($C$4=$L$10,$L$9,IF($C$4=$M$10,$M$9,IF($C$4=$N$10,$N$9,IF($C$4=$O$10,$O$9,IF($C$4=$P$10,$P$9,IF($C$4=$Q$10,$Q$9,IF($C$4=$R$10,$R$9,IF($C$4=$S$10,$S$9,IF($C$4=$T$10,$T$9,IF($C$4=$U$10,$U$9))))))))))))))))))))</f>
        <v>11</v>
      </c>
      <c r="P37" s="18">
        <f>IF($D$4=$B$10,$B$9,IF($D$4=$C$10,$C$9,IF($D$4=$D$10,$D$9,IF($D$4=$E$10,$E$9,IF($D$4=$F$10,$F$9,IF($D$4=$G$10,$G$9,IF($D$4=$H$10,$H$9,IF($D$4=$I$10,$I$9,IF($D$4=$J$10,$J$9,IF($D$4=$K$10,$K$9,IF($D$4=$L$10,$L$9,IF($D$4=$M$10,$M$9,IF($D$4=$N$10,$N$9,IF($D$4=$O$10,$O$9,IF($D$4=$P$10,$P$9,IF($D$4=$Q$10,$Q9,IF($D$4=$R$10,$R$9,IF($D$4=$S$10,$S$9,IF($D$4=$T$10,$T$9,IF($D$4=$U$10,$U$9))))))))))))))))))))</f>
        <v>12</v>
      </c>
      <c r="Q37" s="18">
        <f>IF($E$4=$B$10,$B$9,IF($E$4=$C$10,$C$9,IF($E$4=$D$10,$D$9,IF($E$4=$E$10,$E$9,IF($E$4=$F$10,$F$9,IF($E$4=$G$10,$G$9,IF($E$4=$H$10,$H$9,IF($E$4=$I$10,$I$9,IF($E$4=$J$10,$J$9,IF($E$4=$K$10,$K$9,IF($E$4=$L$10,$L$9,IF($E$4=$M$10,$M$9,IF($E$4=$N$10,$N$9,IF($E$4=$O$10,$O$9,IF($E$4=$P$10,$P$9,IF($E$4=$Q$10,$Q$9,IF($E$4=$R$10,$R$9,IF($E$4=$S$10,$S$9,IF($E$4=$T$10,$T$9,IF($E$4=$U$10,$U$9))))))))))))))))))))</f>
        <v>13</v>
      </c>
      <c r="R37" s="18">
        <f>IF($F$4=$B$10,$B$9,IF($F$4=$C$10,$C$9,IF($F$4=$D$10,$D$9,IF($F$4=$E$10,$E$9,IF($F$4=$F$10,$F$9,IF($F$4=$G$10,$G$9,IF($F$4=$H$10,$H$9,IF($F$4=$I$10,$I$9,IF($F$4=$J$10,$J$9,IF($F$4=$K$10,$K$9,IF($F$4=$L$10,$L$9,IF($F$4=$M$10,$M$9,IF($F$4=$N$10,$N$9,IF($F$4=$O$10,$O$9,IF($F$4=$P$10,$P$9,IF($F$4=$Q$10,$Q$9,IF($F$4=$R$10,$R$9,IF($F$4=$S$10,$S$9,IF($F$4=$T$10,$T$9,IF($F$4=$U$10,$U$9))))))))))))))))))))</f>
        <v>14</v>
      </c>
      <c r="S37" s="53">
        <f>IF($G$4=$B$10,$B$9,IF($G$4=$C$10,$C$9,IF($G$4=$D$10,$D$9,IF($G$4=$E$10,$E$9,IF($G$4=$F$10,$F$9,IF($G$4=$G$10,$G$9,IF($G$4=$H$10,$H$9,IF($G$4=$I$10,$I$9,IF($G$4=$J$10,$J$9,IF($G$4=$K$10,$K$9,IF($G$4=$L$10,$L$9,IF($G$4=$M$10,$M$9,IF($G$4=$N$10,$N$9,IF($G$4=$O$10,$O$9,IF($G$4=$P$10,$P$9,IF($G$4=$Q$10,$Q$9,IF($G$4=$R$10,$R$9,IF($G$4=$S$10,$S$9,IF($G$4=$T$10,$T$9,IF($G$4=$U$10,$U$9))))))))))))))))))))</f>
        <v>15</v>
      </c>
      <c r="U37" s="118"/>
      <c r="V37" s="17"/>
      <c r="W37" s="156"/>
      <c r="X37" s="156"/>
      <c r="Y37" s="156"/>
      <c r="Z37" s="156"/>
      <c r="AA37" s="156"/>
      <c r="AB37" s="156"/>
      <c r="AC37" s="156"/>
      <c r="AD37" s="156"/>
      <c r="AE37" s="156"/>
      <c r="AF37" s="156"/>
      <c r="AG37" s="156"/>
    </row>
    <row r="38" spans="1:33" ht="12.75" customHeight="1" thickBot="1" x14ac:dyDescent="0.25">
      <c r="A38" s="18">
        <f>Budget!A12</f>
        <v>2</v>
      </c>
      <c r="B38" s="21">
        <f>(1+Budget!J12)</f>
        <v>1.04</v>
      </c>
      <c r="C38" s="24">
        <f>ROUND(Budget!C12,0)</f>
        <v>0</v>
      </c>
      <c r="D38" s="51">
        <f>ROUND(IF($O$38=0,Budget!C12,Budget!C12*B38),0)</f>
        <v>0</v>
      </c>
      <c r="E38" s="51">
        <f>ROUND(IF($P$38=0,Budget!C12,IF($P$38=1,Budget!C12*B38,IF($P$38=2,Budget!C12*B38*B38))),0)</f>
        <v>0</v>
      </c>
      <c r="F38" s="51">
        <f>ROUND(IF($Q$38=0,Budget!C12,IF($Q$38=1,Budget!C12*B38,IF($Q$38=2,Budget!C12*B38*B38,IF($Q$38=3,Budget!C12*B38*B38*B38)))),0)</f>
        <v>0</v>
      </c>
      <c r="G38" s="51">
        <f>ROUND(IF($R$38=0,Budget!C12,IF($R$38=1,Budget!C12*B38,IF($R$38=2,Budget!C12*B38*B38,IF($R$38=3,Budget!C12*B38*B38*B38,IF($R$38=4,Budget!C12*B38*B38*B38*B38,IF($R$38=5,Budget!C12*B38*B38*B38*B38*B38)))))),0)</f>
        <v>0</v>
      </c>
      <c r="H38" s="51">
        <f>ROUND(IF($S$38=0,Budget!C12,IF($S$38=1,Budget!C12*B38,IF($S$38=2,Budget!C12*B38*B38,IF($S$38=3,Budget!C12*B38*B38*B38,IF($S$38=4,Budget!C12*B38*B38*B38*B38,IF($S$38=5,Budget!C12*B38*B38*B38*B38*B38,IF($S$38=6,Budget!C12*B38*B38*B38*B38*B38*B38))))))),0)</f>
        <v>0</v>
      </c>
      <c r="I38" s="24">
        <f>ROUND(IF($B$6=12,(C38*Budget!D12/12*Budget!$K$6),IF(Budget!$K$6-$B$6&lt;0,(C38*Budget!D12/12*Budget!$K$6),(C38*Budget!D12/12*$B$6)+(D38*Budget!D12/12*$B$7))),0)</f>
        <v>0</v>
      </c>
      <c r="J38" s="24">
        <f>ROUND(IF($C$6=12,(D38*Budget!E12/12*Budget!$L$6),IF(Budget!$L$6-$C$6&lt;0,(D38*Budget!E12/12*Budget!$L$6),(D38*Budget!E12/12*$C$6)+(E38*Budget!E12/12*$C$7))),0)</f>
        <v>0</v>
      </c>
      <c r="K38" s="24">
        <f>ROUND(IF($D$6=12,(E38*Budget!F12/12*Budget!$M$6),IF(Budget!$M$6-$D$6&lt;0,(E38*Budget!F12/12*Budget!$M$6),(E38*Budget!F12/12*$D$6)+(F38*Budget!F12/12*$D$7))),0)</f>
        <v>0</v>
      </c>
      <c r="L38" s="24">
        <f>ROUND(IF($E$6=12,(F38*Budget!G12/12*Budget!$N$6),IF(Budget!$N$6-$E$6&lt;0,(F38*Budget!G12/12*Budget!$N$6),(F38*Budget!G12/12*$E$6)+(G38*Budget!G12/12*$E$7))),0)</f>
        <v>0</v>
      </c>
      <c r="M38" s="25">
        <f>ROUND(IF($F$6=12,(G38*Budget!H12/12*Budget!$O$6),IF(Budget!$O$6-$F$6&lt;0,(G38*Budget!H12/12*Budget!$O$6),(G38*Budget!H12/12*$F$6)+(H38*Budget!H12/12*$F$7))),0)</f>
        <v>0</v>
      </c>
      <c r="N38" s="54"/>
      <c r="O38" s="55">
        <f>O37-N37</f>
        <v>1</v>
      </c>
      <c r="P38" s="56">
        <f>P37-N37</f>
        <v>2</v>
      </c>
      <c r="Q38" s="56">
        <f>Q37-N37</f>
        <v>3</v>
      </c>
      <c r="R38" s="56">
        <f>R37-N37</f>
        <v>4</v>
      </c>
      <c r="S38" s="57">
        <f>S37-N37</f>
        <v>5</v>
      </c>
      <c r="T38" s="17"/>
      <c r="U38" s="118"/>
      <c r="V38" s="17"/>
      <c r="W38" s="156"/>
      <c r="X38" s="156"/>
      <c r="Y38" s="156"/>
      <c r="Z38" s="156"/>
      <c r="AA38" s="156"/>
      <c r="AB38" s="156"/>
      <c r="AC38" s="156"/>
      <c r="AD38" s="156"/>
      <c r="AE38" s="156"/>
      <c r="AF38" s="156"/>
      <c r="AG38" s="156"/>
    </row>
    <row r="39" spans="1:33" ht="12.75" customHeight="1" x14ac:dyDescent="0.2">
      <c r="A39" s="18">
        <f>Budget!A13</f>
        <v>3</v>
      </c>
      <c r="B39" s="21">
        <f>(1+Budget!J13)</f>
        <v>1.04</v>
      </c>
      <c r="C39" s="24">
        <f>ROUND(Budget!C13,0)</f>
        <v>0</v>
      </c>
      <c r="D39" s="51">
        <f>ROUND(IF($O$38=0,Budget!C13,Budget!C13*B39),0)</f>
        <v>0</v>
      </c>
      <c r="E39" s="51">
        <f>ROUND(IF($P$38=0,Budget!C13,IF($P$38=1,Budget!C13*B39,IF($P$38=2,Budget!C13*B39*B39))),0)</f>
        <v>0</v>
      </c>
      <c r="F39" s="51">
        <f>ROUND(IF($Q$38=0,Budget!C13,IF($Q$38=1,Budget!C13*B39,IF($Q$38=2,Budget!C13*B39*B39,IF($Q$38=3,Budget!C13*B39*B39*B39)))),0)</f>
        <v>0</v>
      </c>
      <c r="G39" s="51">
        <f>ROUND(IF($R$38=0,Budget!C13,IF($R$38=1,Budget!C13*B39,IF($R$38=2,Budget!C13*B39*B39,IF($R$38=3,Budget!C13*B39*B39*B39,IF($R$38=4,Budget!C13*B39*B39*B39*B39,IF($R$38=5,Budget!C13*B39*B39*B39*B39*B39)))))),0)</f>
        <v>0</v>
      </c>
      <c r="H39" s="51">
        <f>ROUND(IF($S$38=0,Budget!C13,IF($S$38=1,Budget!C13*B39,IF($S$38=2,Budget!C13*B39*B39,IF($S$38=3,Budget!C13*B39*B39*B39,IF($S$38=4,Budget!C13*B39*B39*B39*B39,IF($S$38=5,Budget!C13*B39*B39*B39*B39*B39,IF($S$38=6,Budget!C13*B39*B39*B39*B39*B39*B39))))))),0)</f>
        <v>0</v>
      </c>
      <c r="I39" s="24">
        <f>ROUND(IF($B$6=12,(C39*Budget!D13/12*Budget!$K$6),IF(Budget!$K$6-$B$6&lt;0,(C39*Budget!D13/12*Budget!$K$6),(C39*Budget!D13/12*$B$6)+(D39*Budget!D13/12*$B$7))),0)</f>
        <v>0</v>
      </c>
      <c r="J39" s="24">
        <f>ROUND(IF($C$6=12,(D39*Budget!E13/12*Budget!$L$6),IF(Budget!$L$6-$C$6&lt;0,(D39*Budget!E13/12*Budget!$L$6),(D39*Budget!E13/12*$C$6)+(E39*Budget!E13/12*$C$7))),0)</f>
        <v>0</v>
      </c>
      <c r="K39" s="24">
        <f>ROUND(IF($D$6=12,(E39*Budget!F13/12*Budget!$M$6),IF(Budget!$M$6-$D$6&lt;0,(E39*Budget!F13/12*Budget!$M$6),(E39*Budget!F13/12*$D$6)+(F39*Budget!F13/12*$D$7))),0)</f>
        <v>0</v>
      </c>
      <c r="L39" s="24">
        <f>ROUND(IF($E$6=12,(F39*Budget!G13/12*Budget!$N$6),IF(Budget!$N$6-$E$6&lt;0,(F39*Budget!G13/12*Budget!$N$6),(F39*Budget!G13/12*$E$6)+(G39*Budget!G13/12*$E$7))),0)</f>
        <v>0</v>
      </c>
      <c r="M39" s="25">
        <f>ROUND(IF($F$6=12,(G39*Budget!H13/12*Budget!$O$6),IF(Budget!$O$6-$F$6&lt;0,(G39*Budget!H13/12*Budget!$O$6),(G39*Budget!H13/12*$F$6)+(H39*Budget!H13/12*$F$7))),0)</f>
        <v>0</v>
      </c>
      <c r="N39" s="58"/>
      <c r="O39" s="29"/>
      <c r="P39" s="17"/>
      <c r="Q39" s="17"/>
      <c r="R39" s="59"/>
      <c r="S39" s="17"/>
      <c r="U39" s="118"/>
      <c r="V39" s="17"/>
      <c r="W39" s="156"/>
      <c r="X39" s="156"/>
      <c r="Y39" s="156"/>
      <c r="Z39" s="156"/>
      <c r="AA39" s="156"/>
      <c r="AB39" s="156"/>
      <c r="AC39" s="156"/>
      <c r="AD39" s="156"/>
      <c r="AE39" s="156"/>
      <c r="AF39" s="156"/>
      <c r="AG39" s="156"/>
    </row>
    <row r="40" spans="1:33" ht="12.75" customHeight="1" x14ac:dyDescent="0.2">
      <c r="A40" s="18">
        <f>Budget!A14</f>
        <v>4</v>
      </c>
      <c r="B40" s="21">
        <f>(1+Budget!J14)</f>
        <v>1.04</v>
      </c>
      <c r="C40" s="24">
        <f>ROUND(Budget!C14,0)</f>
        <v>0</v>
      </c>
      <c r="D40" s="51">
        <f>ROUND(IF($O$38=0,Budget!C14,Budget!C14*B40),0)</f>
        <v>0</v>
      </c>
      <c r="E40" s="51">
        <f>ROUND(IF($P$38=0,Budget!C14,IF($P$38=1,Budget!C14*B40,IF($P$38=2,Budget!C14*B40*B40))),0)</f>
        <v>0</v>
      </c>
      <c r="F40" s="51">
        <f>ROUND(IF($Q$38=0,Budget!C14,IF($Q$38=1,Budget!C14*B40,IF($Q$38=2,Budget!C14*B40*B40,IF($Q$38=3,Budget!C14*B40*B40*B40)))),0)</f>
        <v>0</v>
      </c>
      <c r="G40" s="51">
        <f>ROUND(IF($R$38=0,Budget!C14,IF($R$38=1,Budget!C14*B40,IF($R$38=2,Budget!C14*B40*B40,IF($R$38=3,Budget!C14*B40*B40*B40,IF($R$38=4,Budget!C14*B40*B40*B40*B40,IF($R$38=5,Budget!C14*B40*B40*B40*B40*B40)))))),0)</f>
        <v>0</v>
      </c>
      <c r="H40" s="51">
        <f>ROUND(IF($S$38=0,Budget!C14,IF($S$38=1,Budget!C14*B40,IF($S$38=2,Budget!C14*B40*B40,IF($S$38=3,Budget!C14*B40*B40*B40,IF($S$38=4,Budget!C14*B40*B40*B40*B40,IF($S$38=5,Budget!C14*B40*B40*B40*B40*B40,IF($S$38=6,Budget!C14*B40*B40*B40*B40*B40*B40))))))),0)</f>
        <v>0</v>
      </c>
      <c r="I40" s="24">
        <f>ROUND(IF($B$6=12,(C40*Budget!D14/12*Budget!$K$6),IF(Budget!$K$6-$B$6&lt;0,(C40*Budget!D14/12*Budget!$K$6),(C40*Budget!D14/12*$B$6)+(D40*Budget!D14/12*$B$7))),0)</f>
        <v>0</v>
      </c>
      <c r="J40" s="24">
        <f>ROUND(IF($C$6=12,(D40*Budget!E14/12*Budget!$L$6),IF(Budget!$L$6-$C$6&lt;0,(D40*Budget!E14/12*Budget!$L$6),(D40*Budget!E14/12*$C$6)+(E40*Budget!E14/12*$C$7))),0)</f>
        <v>0</v>
      </c>
      <c r="K40" s="24">
        <f>ROUND(IF($D$6=12,(E40*Budget!F14/12*Budget!$M$6),IF(Budget!$M$6-$D$6&lt;0,(E40*Budget!F14/12*Budget!$M$6),(E40*Budget!F14/12*$D$6)+(F40*Budget!F14/12*$D$7))),0)</f>
        <v>0</v>
      </c>
      <c r="L40" s="24">
        <f>ROUND(IF($E$6=12,(F40*Budget!G14/12*Budget!$N$6),IF(Budget!$N$6-$E$6&lt;0,(F40*Budget!G14/12*Budget!$N$6),(F40*Budget!G14/12*$E$6)+(G40*Budget!G14/12*$E$7))),0)</f>
        <v>0</v>
      </c>
      <c r="M40" s="25">
        <f>ROUND(IF($F$6=12,(G40*Budget!H14/12*Budget!$O$6),IF(Budget!$O$6-$F$6&lt;0,(G40*Budget!H14/12*Budget!$O$6),(G40*Budget!H14/12*$F$6)+(H40*Budget!H14/12*$F$7))),0)</f>
        <v>0</v>
      </c>
      <c r="N40" s="58"/>
      <c r="O40" s="29"/>
      <c r="P40" s="17"/>
      <c r="Q40" s="17"/>
      <c r="R40" s="59"/>
      <c r="S40" s="17"/>
      <c r="U40" s="118"/>
      <c r="V40" s="17"/>
      <c r="W40" s="156"/>
      <c r="X40" s="156"/>
      <c r="Y40" s="156"/>
      <c r="Z40" s="156"/>
      <c r="AA40" s="156"/>
      <c r="AB40" s="156"/>
      <c r="AC40" s="156"/>
      <c r="AD40" s="156"/>
      <c r="AE40" s="156"/>
      <c r="AF40" s="156"/>
      <c r="AG40" s="156"/>
    </row>
    <row r="41" spans="1:33" ht="12.75" customHeight="1" x14ac:dyDescent="0.2">
      <c r="A41" s="18">
        <f>Budget!A15</f>
        <v>5</v>
      </c>
      <c r="B41" s="21">
        <f>(1+Budget!J15)</f>
        <v>1.04</v>
      </c>
      <c r="C41" s="24">
        <f>ROUND(Budget!C15,0)</f>
        <v>0</v>
      </c>
      <c r="D41" s="51">
        <f>ROUND(IF($O$38=0,Budget!C15,Budget!C15*B41),0)</f>
        <v>0</v>
      </c>
      <c r="E41" s="51">
        <f>ROUND(IF($P$38=0,Budget!C15,IF($P$38=1,Budget!C15*B41,IF($P$38=2,Budget!C15*B41*B41))),0)</f>
        <v>0</v>
      </c>
      <c r="F41" s="51">
        <f>ROUND(IF($Q$38=0,Budget!C15,IF($Q$38=1,Budget!C15*B41,IF($Q$38=2,Budget!C15*B41*B41,IF($Q$38=3,Budget!C15*B41*B41*B41)))),0)</f>
        <v>0</v>
      </c>
      <c r="G41" s="51">
        <f>ROUND(IF($R$38=0,Budget!C15,IF($R$38=1,Budget!C15*B41,IF($R$38=2,Budget!C15*B41*B41,IF($R$38=3,Budget!C15*B41*B41*B41,IF($R$38=4,Budget!C15*B41*B41*B41*B41,IF($R$38=5,Budget!C15*B41*B41*B41*B41*B41)))))),0)</f>
        <v>0</v>
      </c>
      <c r="H41" s="51">
        <f>ROUND(IF($S$38=0,Budget!C15,IF($S$38=1,Budget!C15*B41,IF($S$38=2,Budget!C15*B41*B41,IF($S$38=3,Budget!C15*B41*B41*B41,IF($S$38=4,Budget!C15*B41*B41*B41*B41,IF($S$38=5,Budget!C15*B41*B41*B41*B41*B41,IF($S$38=6,Budget!C15*B41*B41*B41*B41*B41*B41))))))),0)</f>
        <v>0</v>
      </c>
      <c r="I41" s="24">
        <f>ROUND(IF($B$6=12,(C41*Budget!D15/12*Budget!$K$6),IF(Budget!$K$6-$B$6&lt;0,(C41*Budget!D15/12*Budget!$K$6),(C41*Budget!D15/12*$B$6)+(D41*Budget!D15/12*$B$7))),0)</f>
        <v>0</v>
      </c>
      <c r="J41" s="24">
        <f>ROUND(IF($C$6=12,(D41*Budget!E15/12*Budget!$L$6),IF(Budget!$L$6-$C$6&lt;0,(D41*Budget!E15/12*Budget!$L$6),(D41*Budget!E15/12*$C$6)+(E41*Budget!E15/12*$C$7))),0)</f>
        <v>0</v>
      </c>
      <c r="K41" s="24">
        <f>ROUND(IF($D$6=12,(E41*Budget!F15/12*Budget!$M$6),IF(Budget!$M$6-$D$6&lt;0,(E41*Budget!F15/12*Budget!$M$6),(E41*Budget!F15/12*$D$6)+(F41*Budget!F15/12*$D$7))),0)</f>
        <v>0</v>
      </c>
      <c r="L41" s="24">
        <f>ROUND(IF($E$6=12,(F41*Budget!G15/12*Budget!$N$6),IF(Budget!$N$6-$E$6&lt;0,(F41*Budget!G15/12*Budget!$N$6),(F41*Budget!G15/12*$E$6)+(G41*Budget!G15/12*$E$7))),0)</f>
        <v>0</v>
      </c>
      <c r="M41" s="25">
        <f>ROUND(IF($F$6=12,(G41*Budget!H15/12*Budget!$O$6),IF(Budget!$O$6-$F$6&lt;0,(G41*Budget!H15/12*Budget!$O$6),(G41*Budget!H15/12*$F$6)+(H41*Budget!H15/12*$F$7))),0)</f>
        <v>0</v>
      </c>
      <c r="N41" s="58"/>
      <c r="O41" s="29"/>
      <c r="P41" s="17"/>
      <c r="Q41" s="17"/>
      <c r="R41" s="59"/>
      <c r="S41" s="17"/>
      <c r="U41" s="118"/>
      <c r="V41" s="17"/>
      <c r="W41" s="156"/>
      <c r="X41" s="156"/>
      <c r="Y41" s="156"/>
      <c r="Z41" s="156"/>
      <c r="AA41" s="156"/>
      <c r="AB41" s="156"/>
      <c r="AC41" s="156"/>
      <c r="AD41" s="156"/>
      <c r="AE41" s="156"/>
      <c r="AF41" s="156"/>
      <c r="AG41" s="156"/>
    </row>
    <row r="42" spans="1:33" ht="12.75" customHeight="1" x14ac:dyDescent="0.2">
      <c r="A42" s="18">
        <f>Budget!A16</f>
        <v>6</v>
      </c>
      <c r="B42" s="21">
        <f>(1+Budget!J16)</f>
        <v>1.04</v>
      </c>
      <c r="C42" s="24">
        <f>ROUND(Budget!C16,0)</f>
        <v>0</v>
      </c>
      <c r="D42" s="51">
        <f>ROUND(IF($O$38=0,Budget!C16,Budget!C16*B42),0)</f>
        <v>0</v>
      </c>
      <c r="E42" s="51">
        <f>ROUND(IF($P$38=0,Budget!C16,IF($P$38=1,Budget!C16*B42,IF($P$38=2,Budget!C16*B42*B42))),0)</f>
        <v>0</v>
      </c>
      <c r="F42" s="51">
        <f>ROUND(IF($Q$38=0,Budget!C16,IF($Q$38=1,Budget!C16*B42,IF($Q$38=2,Budget!C16*B42*B42,IF($Q$38=3,Budget!C16*B42*B42*B42)))),0)</f>
        <v>0</v>
      </c>
      <c r="G42" s="51">
        <f>ROUND(IF($R$38=0,Budget!C16,IF($R$38=1,Budget!C16*B42,IF($R$38=2,Budget!C16*B42*B42,IF($R$38=3,Budget!C16*B42*B42*B42,IF($R$38=4,Budget!C16*B42*B42*B42*B42,IF($R$38=5,Budget!C16*B42*B42*B42*B42*B42)))))),0)</f>
        <v>0</v>
      </c>
      <c r="H42" s="51">
        <f>ROUND(IF($S$38=0,Budget!C16,IF($S$38=1,Budget!C16*B42,IF($S$38=2,Budget!C16*B42*B42,IF($S$38=3,Budget!C16*B42*B42*B42,IF($S$38=4,Budget!C16*B42*B42*B42*B42,IF($S$38=5,Budget!C16*B42*B42*B42*B42*B42,IF($S$38=6,Budget!C16*B42*B42*B42*B42*B42*B42))))))),0)</f>
        <v>0</v>
      </c>
      <c r="I42" s="24">
        <f>ROUND(IF($B$6=12,(C42*Budget!D16/12*Budget!$K$6),IF(Budget!$K$6-$B$6&lt;0,(C42*Budget!D16/12*Budget!$K$6),(C42*Budget!D16/12*$B$6)+(D42*Budget!D16/12*$B$7))),0)</f>
        <v>0</v>
      </c>
      <c r="J42" s="24">
        <f>ROUND(IF($C$6=12,(D42*Budget!E16/12*Budget!$L$6),IF(Budget!$L$6-$C$6&lt;0,(D42*Budget!E16/12*Budget!$L$6),(D42*Budget!E16/12*$C$6)+(E42*Budget!E16/12*$C$7))),0)</f>
        <v>0</v>
      </c>
      <c r="K42" s="24">
        <f>ROUND(IF($D$6=12,(E42*Budget!F16/12*Budget!$M$6),IF(Budget!$M$6-$D$6&lt;0,(E42*Budget!F16/12*Budget!$M$6),(E42*Budget!F16/12*$D$6)+(F42*Budget!F16/12*$D$7))),0)</f>
        <v>0</v>
      </c>
      <c r="L42" s="24">
        <f>ROUND(IF($E$6=12,(F42*Budget!G16/12*Budget!$N$6),IF(Budget!$N$6-$E$6&lt;0,(F42*Budget!G16/12*Budget!$N$6),(F42*Budget!G16/12*$E$6)+(G42*Budget!G16/12*$E$7))),0)</f>
        <v>0</v>
      </c>
      <c r="M42" s="25">
        <f>ROUND(IF($F$6=12,(G42*Budget!H16/12*Budget!$O$6),IF(Budget!$O$6-$F$6&lt;0,(G42*Budget!H16/12*Budget!$O$6),(G42*Budget!H16/12*$F$6)+(H42*Budget!H16/12*$F$7))),0)</f>
        <v>0</v>
      </c>
      <c r="N42" s="58"/>
      <c r="O42" s="29"/>
      <c r="P42" s="17"/>
      <c r="Q42" s="17"/>
      <c r="R42" s="59"/>
      <c r="S42" s="17"/>
      <c r="U42" s="118"/>
      <c r="V42" s="17"/>
      <c r="W42" s="156"/>
      <c r="X42" s="156"/>
      <c r="Y42" s="156"/>
      <c r="Z42" s="156"/>
      <c r="AA42" s="156"/>
      <c r="AB42" s="156"/>
      <c r="AC42" s="156"/>
      <c r="AD42" s="156"/>
      <c r="AE42" s="156"/>
      <c r="AF42" s="156"/>
      <c r="AG42" s="156"/>
    </row>
    <row r="43" spans="1:33" ht="12.75" customHeight="1" x14ac:dyDescent="0.2">
      <c r="A43" s="18">
        <f>Budget!A17</f>
        <v>7</v>
      </c>
      <c r="B43" s="21">
        <f>(1+Budget!J17)</f>
        <v>1.04</v>
      </c>
      <c r="C43" s="24">
        <f>ROUND(Budget!C17,0)</f>
        <v>0</v>
      </c>
      <c r="D43" s="51">
        <f>ROUND(IF($O$38=0,Budget!C17,Budget!C17*B43),0)</f>
        <v>0</v>
      </c>
      <c r="E43" s="51">
        <f>ROUND(IF($P$38=0,Budget!C17,IF($P$38=1,Budget!C17*B43,IF($P$38=2,Budget!C17*B43*B43))),0)</f>
        <v>0</v>
      </c>
      <c r="F43" s="51">
        <f>ROUND(IF($Q$38=0,Budget!C17,IF($Q$38=1,Budget!C17*B43,IF($Q$38=2,Budget!C17*B43*B43,IF($Q$38=3,Budget!C17*B43*B43*B43)))),0)</f>
        <v>0</v>
      </c>
      <c r="G43" s="51">
        <f>ROUND(IF($R$38=0,Budget!C17,IF($R$38=1,Budget!C17*B43,IF($R$38=2,Budget!C17*B43*B43,IF($R$38=3,Budget!C17*B43*B43*B43,IF($R$38=4,Budget!C17*B43*B43*B43*B43,IF($R$38=5,Budget!C17*B43*B43*B43*B43*B43)))))),0)</f>
        <v>0</v>
      </c>
      <c r="H43" s="51">
        <f>ROUND(IF($S$38=0,Budget!C17,IF($S$38=1,Budget!C17*B43,IF($S$38=2,Budget!C17*B43*B43,IF($S$38=3,Budget!C17*B43*B43*B43,IF($S$38=4,Budget!C17*B43*B43*B43*B43,IF($S$38=5,Budget!C17*B43*B43*B43*B43*B43,IF($S$38=6,Budget!C17*B43*B43*B43*B43*B43*B43))))))),0)</f>
        <v>0</v>
      </c>
      <c r="I43" s="24">
        <f>ROUND(IF($B$6=12,(C43*Budget!D17/12*Budget!$K$6),IF(Budget!$K$6-$B$6&lt;0,(C43*Budget!D17/12*Budget!$K$6),(C43*Budget!D17/12*$B$6)+(D43*Budget!D17/12*$B$7))),0)</f>
        <v>0</v>
      </c>
      <c r="J43" s="24">
        <f>ROUND(IF($C$6=12,(D43*Budget!E17/12*Budget!$L$6),IF(Budget!$L$6-$C$6&lt;0,(D43*Budget!E17/12*Budget!$L$6),(D43*Budget!E17/12*$C$6)+(E43*Budget!E17/12*$C$7))),0)</f>
        <v>0</v>
      </c>
      <c r="K43" s="24">
        <f>ROUND(IF($D$6=12,(E43*Budget!F17/12*Budget!$M$6),IF(Budget!$M$6-$D$6&lt;0,(E43*Budget!F17/12*Budget!$M$6),(E43*Budget!F17/12*$D$6)+(F43*Budget!F17/12*$D$7))),0)</f>
        <v>0</v>
      </c>
      <c r="L43" s="24">
        <f>ROUND(IF($E$6=12,(F43*Budget!G17/12*Budget!$N$6),IF(Budget!$N$6-$E$6&lt;0,(F43*Budget!G17/12*Budget!$N$6),(F43*Budget!G17/12*$E$6)+(G43*Budget!G17/12*$E$7))),0)</f>
        <v>0</v>
      </c>
      <c r="M43" s="25">
        <f>ROUND(IF($F$6=12,(G43*Budget!H17/12*Budget!$O$6),IF(Budget!$O$6-$F$6&lt;0,(G43*Budget!H17/12*Budget!$O$6),(G43*Budget!H17/12*$F$6)+(H43*Budget!H17/12*$F$7))),0)</f>
        <v>0</v>
      </c>
      <c r="N43" s="58"/>
      <c r="O43" s="29"/>
      <c r="P43" s="17"/>
      <c r="Q43" s="17"/>
      <c r="R43" s="59"/>
      <c r="S43" s="17"/>
      <c r="U43" s="118"/>
      <c r="V43" s="17"/>
      <c r="W43" s="156"/>
      <c r="X43" s="156"/>
      <c r="Y43" s="156"/>
      <c r="Z43" s="156"/>
      <c r="AA43" s="156"/>
      <c r="AB43" s="156"/>
      <c r="AC43" s="156"/>
      <c r="AD43" s="156"/>
      <c r="AE43" s="156"/>
      <c r="AF43" s="156"/>
      <c r="AG43" s="156"/>
    </row>
    <row r="44" spans="1:33" ht="12.75" customHeight="1" x14ac:dyDescent="0.2">
      <c r="A44" s="18">
        <f>Budget!A18</f>
        <v>8</v>
      </c>
      <c r="B44" s="21">
        <f>(1+Budget!J18)</f>
        <v>1.04</v>
      </c>
      <c r="C44" s="24">
        <f>ROUND(Budget!C18,0)</f>
        <v>0</v>
      </c>
      <c r="D44" s="51">
        <f>ROUND(IF($O$38=0,Budget!C18,Budget!C18*B44),0)</f>
        <v>0</v>
      </c>
      <c r="E44" s="51">
        <f>ROUND(IF($P$38=0,Budget!C18,IF($P$38=1,Budget!C18*B44,IF($P$38=2,Budget!C18*B44*B44))),0)</f>
        <v>0</v>
      </c>
      <c r="F44" s="51">
        <f>ROUND(IF($Q$38=0,Budget!C18,IF($Q$38=1,Budget!C18*B44,IF($Q$38=2,Budget!C18*B44*B44,IF($Q$38=3,Budget!C18*B44*B44*B44)))),0)</f>
        <v>0</v>
      </c>
      <c r="G44" s="51">
        <f>ROUND(IF($R$38=0,Budget!C18,IF($R$38=1,Budget!C18*B44,IF($R$38=2,Budget!C18*B44*B44,IF($R$38=3,Budget!C18*B44*B44*B44,IF($R$38=4,Budget!C18*B44*B44*B44*B44,IF($R$38=5,Budget!C18*B44*B44*B44*B44*B44)))))),0)</f>
        <v>0</v>
      </c>
      <c r="H44" s="51">
        <f>ROUND(IF($S$38=0,Budget!C18,IF($S$38=1,Budget!C18*B44,IF($S$38=2,Budget!C18*B44*B44,IF($S$38=3,Budget!C18*B44*B44*B44,IF($S$38=4,Budget!C18*B44*B44*B44*B44,IF($S$38=5,Budget!C18*B44*B44*B44*B44*B44,IF($S$38=6,Budget!C18*B44*B44*B44*B44*B44*B44))))))),0)</f>
        <v>0</v>
      </c>
      <c r="I44" s="24">
        <f>ROUND(IF($B$6=12,(C44*Budget!D18/12*Budget!$K$6),IF(Budget!$K$6-$B$6&lt;0,(C44*Budget!D18/12*Budget!$K$6),(C44*Budget!D18/12*$B$6)+(D44*Budget!D18/12*$B$7))),0)</f>
        <v>0</v>
      </c>
      <c r="J44" s="24">
        <f>ROUND(IF($C$6=12,(D44*Budget!E18/12*Budget!$L$6),IF(Budget!$L$6-$C$6&lt;0,(D44*Budget!E18/12*Budget!$L$6),(D44*Budget!E18/12*$C$6)+(E44*Budget!E18/12*$C$7))),0)</f>
        <v>0</v>
      </c>
      <c r="K44" s="24">
        <f>ROUND(IF($D$6=12,(E44*Budget!F18/12*Budget!$M$6),IF(Budget!$M$6-$D$6&lt;0,(E44*Budget!F18/12*Budget!$M$6),(E44*Budget!F18/12*$D$6)+(F44*Budget!F18/12*$D$7))),0)</f>
        <v>0</v>
      </c>
      <c r="L44" s="24">
        <f>ROUND(IF($E$6=12,(F44*Budget!G18/12*Budget!$N$6),IF(Budget!$N$6-$E$6&lt;0,(F44*Budget!G18/12*Budget!$N$6),(F44*Budget!G18/12*$E$6)+(G44*Budget!G18/12*$E$7))),0)</f>
        <v>0</v>
      </c>
      <c r="M44" s="25">
        <f>ROUND(IF($F$6=12,(G44*Budget!H18/12*Budget!$O$6),IF(Budget!$O$6-$F$6&lt;0,(G44*Budget!H18/12*Budget!$O$6),(G44*Budget!H18/12*$F$6)+(H44*Budget!H18/12*$F$7))),0)</f>
        <v>0</v>
      </c>
      <c r="N44" s="58"/>
      <c r="O44" s="29"/>
      <c r="P44" s="17"/>
      <c r="Q44" s="17"/>
      <c r="R44" s="59"/>
      <c r="S44" s="17"/>
      <c r="U44" s="118"/>
      <c r="V44" s="17"/>
      <c r="W44" s="156"/>
      <c r="X44" s="156"/>
      <c r="Y44" s="156"/>
      <c r="Z44" s="156"/>
      <c r="AA44" s="156"/>
      <c r="AB44" s="156"/>
      <c r="AC44" s="156"/>
      <c r="AD44" s="156"/>
      <c r="AE44" s="156"/>
      <c r="AF44" s="156"/>
      <c r="AG44" s="156"/>
    </row>
    <row r="45" spans="1:33" ht="12.75" customHeight="1" x14ac:dyDescent="0.2">
      <c r="A45" s="18">
        <f>Budget!A19</f>
        <v>9</v>
      </c>
      <c r="B45" s="21">
        <f>(1+Budget!J19)</f>
        <v>1.04</v>
      </c>
      <c r="C45" s="24">
        <f>ROUND(Budget!C19,0)</f>
        <v>0</v>
      </c>
      <c r="D45" s="51">
        <f>ROUND(IF($O$38=0,Budget!C19,Budget!C19*B45),0)</f>
        <v>0</v>
      </c>
      <c r="E45" s="51">
        <f>ROUND(IF($P$38=0,Budget!C19,IF($P$38=1,Budget!C19*B45,IF($P$38=2,Budget!C19*B45*B45))),0)</f>
        <v>0</v>
      </c>
      <c r="F45" s="51">
        <f>ROUND(IF($Q$38=0,Budget!C19,IF($Q$38=1,Budget!C19*B45,IF($Q$38=2,Budget!C19*B45*B45,IF($Q$38=3,Budget!C19*B45*B45*B45)))),0)</f>
        <v>0</v>
      </c>
      <c r="G45" s="51">
        <f>ROUND(IF($R$38=0,Budget!C19,IF($R$38=1,Budget!C19*B45,IF($R$38=2,Budget!C19*B45*B45,IF($R$38=3,Budget!C19*B45*B45*B45,IF($R$38=4,Budget!C19*B45*B45*B45*B45,IF($R$38=5,Budget!C19*B45*B45*B45*B45*B45)))))),0)</f>
        <v>0</v>
      </c>
      <c r="H45" s="51">
        <f>ROUND(IF($S$38=0,Budget!C19,IF($S$38=1,Budget!C19*B45,IF($S$38=2,Budget!C19*B45*B45,IF($S$38=3,Budget!C19*B45*B45*B45,IF($S$38=4,Budget!C19*B45*B45*B45*B45,IF($S$38=5,Budget!C19*B45*B45*B45*B45*B45,IF($S$38=6,Budget!C19*B45*B45*B45*B45*B45*B45))))))),0)</f>
        <v>0</v>
      </c>
      <c r="I45" s="24">
        <f>ROUND(IF($B$6=12,(C45*Budget!D19/12*Budget!$K$6),IF(Budget!$K$6-$B$6&lt;0,(C45*Budget!D19/12*Budget!$K$6),(C45*Budget!D19/12*$B$6)+(D45*Budget!D19/12*$B$7))),0)</f>
        <v>0</v>
      </c>
      <c r="J45" s="24">
        <f>ROUND(IF($C$6=12,(D45*Budget!E19/12*Budget!$L$6),IF(Budget!$L$6-$C$6&lt;0,(D45*Budget!E19/12*Budget!$L$6),(D45*Budget!E19/12*$C$6)+(E45*Budget!E19/12*$C$7))),0)</f>
        <v>0</v>
      </c>
      <c r="K45" s="24">
        <f>ROUND(IF($D$6=12,(E45*Budget!F19/12*Budget!$M$6),IF(Budget!$M$6-$D$6&lt;0,(E45*Budget!F19/12*Budget!$M$6),(E45*Budget!F19/12*$D$6)+(F45*Budget!F19/12*$D$7))),0)</f>
        <v>0</v>
      </c>
      <c r="L45" s="24">
        <f>ROUND(IF($E$6=12,(F45*Budget!G19/12*Budget!$N$6),IF(Budget!$N$6-$E$6&lt;0,(F45*Budget!G19/12*Budget!$N$6),(F45*Budget!G19/12*$E$6)+(G45*Budget!G19/12*$E$7))),0)</f>
        <v>0</v>
      </c>
      <c r="M45" s="25">
        <f>ROUND(IF($F$6=12,(G45*Budget!H19/12*Budget!$O$6),IF(Budget!$O$6-$F$6&lt;0,(G45*Budget!H19/12*Budget!$O$6),(G45*Budget!H19/12*$F$6)+(H45*Budget!H19/12*$F$7))),0)</f>
        <v>0</v>
      </c>
      <c r="N45" s="58"/>
      <c r="O45" s="29"/>
      <c r="P45" s="17"/>
      <c r="Q45" s="17"/>
      <c r="R45" s="59"/>
      <c r="S45" s="17"/>
      <c r="U45" s="118"/>
      <c r="V45" s="17"/>
      <c r="W45" s="156"/>
      <c r="X45" s="156"/>
      <c r="Y45" s="156"/>
      <c r="Z45" s="156"/>
      <c r="AA45" s="156"/>
      <c r="AB45" s="156"/>
      <c r="AC45" s="156"/>
      <c r="AD45" s="156"/>
      <c r="AE45" s="156"/>
      <c r="AF45" s="156"/>
      <c r="AG45" s="156"/>
    </row>
    <row r="46" spans="1:33" ht="12.75" customHeight="1" x14ac:dyDescent="0.2">
      <c r="A46" s="18">
        <f>Budget!A20</f>
        <v>10</v>
      </c>
      <c r="B46" s="21">
        <f>(1+Budget!J20)</f>
        <v>1.04</v>
      </c>
      <c r="C46" s="24">
        <f>ROUND(Budget!C20,0)</f>
        <v>0</v>
      </c>
      <c r="D46" s="51">
        <f>ROUND(IF($O$38=0,Budget!C20,Budget!C20*B46),0)</f>
        <v>0</v>
      </c>
      <c r="E46" s="51">
        <f>ROUND(IF($P$38=0,Budget!C20,IF($P$38=1,Budget!C20*B46,IF($P$38=2,Budget!C20*B46*B46))),0)</f>
        <v>0</v>
      </c>
      <c r="F46" s="51">
        <f>ROUND(IF($Q$38=0,Budget!C20,IF($Q$38=1,Budget!C20*B46,IF($Q$38=2,Budget!C20*B46*B46,IF($Q$38=3,Budget!C20*B46*B46*B46)))),0)</f>
        <v>0</v>
      </c>
      <c r="G46" s="51">
        <f>ROUND(IF($R$38=0,Budget!C20,IF($R$38=1,Budget!C20*B46,IF($R$38=2,Budget!C20*B46*B46,IF($R$38=3,Budget!C20*B46*B46*B46,IF($R$38=4,Budget!C20*B46*B46*B46*B46,IF($R$38=5,Budget!C20*B46*B46*B46*B46*B46)))))),0)</f>
        <v>0</v>
      </c>
      <c r="H46" s="51">
        <f>ROUND(IF($S$38=0,Budget!C20,IF($S$38=1,Budget!C20*B46,IF($S$38=2,Budget!C20*B46*B46,IF($S$38=3,Budget!C20*B46*B46*B46,IF($S$38=4,Budget!C20*B46*B46*B46*B46,IF($S$38=5,Budget!C20*B46*B46*B46*B46*B46,IF($S$38=6,Budget!C20*B46*B46*B46*B46*B46*B46))))))),0)</f>
        <v>0</v>
      </c>
      <c r="I46" s="24">
        <f>ROUND(IF($B$6=12,(C46*Budget!D20/12*Budget!$K$6),IF(Budget!$K$6-$B$6&lt;0,(C46*Budget!D20/12*Budget!$K$6),(C46*Budget!D20/12*$B$6)+(D46*Budget!D20/12*$B$7))),0)</f>
        <v>0</v>
      </c>
      <c r="J46" s="24">
        <f>ROUND(IF($C$6=12,(D46*Budget!E20/12*Budget!$L$6),IF(Budget!$L$6-$C$6&lt;0,(D46*Budget!E20/12*Budget!$L$6),(D46*Budget!E20/12*$C$6)+(E46*Budget!E20/12*$C$7))),0)</f>
        <v>0</v>
      </c>
      <c r="K46" s="24">
        <f>ROUND(IF($D$6=12,(E46*Budget!F20/12*Budget!$M$6),IF(Budget!$M$6-$D$6&lt;0,(E46*Budget!F20/12*Budget!$M$6),(E46*Budget!F20/12*$D$6)+(F46*Budget!F20/12*$D$7))),0)</f>
        <v>0</v>
      </c>
      <c r="L46" s="24">
        <f>ROUND(IF($E$6=12,(F46*Budget!G20/12*Budget!$N$6),IF(Budget!$N$6-$E$6&lt;0,(F46*Budget!G20/12*Budget!$N$6),(F46*Budget!G20/12*$E$6)+(G46*Budget!G20/12*$E$7))),0)</f>
        <v>0</v>
      </c>
      <c r="M46" s="25">
        <f>ROUND(IF($F$6=12,(G46*Budget!H20/12*Budget!$O$6),IF(Budget!$O$6-$F$6&lt;0,(G46*Budget!H20/12*Budget!$O$6),(G46*Budget!H20/12*$F$6)+(H46*Budget!H20/12*$F$7))),0)</f>
        <v>0</v>
      </c>
      <c r="N46" s="58"/>
      <c r="O46" s="29"/>
      <c r="P46" s="17"/>
      <c r="Q46" s="17"/>
      <c r="R46" s="59"/>
      <c r="S46" s="17"/>
      <c r="U46" s="118"/>
      <c r="V46" s="17"/>
      <c r="W46" s="156"/>
      <c r="X46" s="156"/>
      <c r="Y46" s="156"/>
      <c r="Z46" s="156"/>
      <c r="AA46" s="156"/>
      <c r="AB46" s="156"/>
      <c r="AC46" s="156"/>
      <c r="AD46" s="156"/>
      <c r="AE46" s="156"/>
      <c r="AF46" s="156"/>
      <c r="AG46" s="156"/>
    </row>
    <row r="47" spans="1:33" ht="12.75" customHeight="1" x14ac:dyDescent="0.2">
      <c r="A47" s="18">
        <f>Budget!A21</f>
        <v>11</v>
      </c>
      <c r="B47" s="21">
        <f>(1+Budget!J21)</f>
        <v>1.04</v>
      </c>
      <c r="C47" s="24">
        <f>ROUND(Budget!C21,0)</f>
        <v>0</v>
      </c>
      <c r="D47" s="51">
        <f>ROUND(IF($O$38=0,Budget!C21,Budget!C21*B47),0)</f>
        <v>0</v>
      </c>
      <c r="E47" s="51">
        <f>ROUND(IF($P$38=0,Budget!C21,IF($P$38=1,Budget!C21*B47,IF($P$38=2,Budget!C21*B47*B47))),0)</f>
        <v>0</v>
      </c>
      <c r="F47" s="51">
        <f>ROUND(IF($Q$38=0,Budget!C21,IF($Q$38=1,Budget!C21*B47,IF($Q$38=2,Budget!C21*B47*B47,IF($Q$38=3,Budget!C21*B47*B47*B47)))),0)</f>
        <v>0</v>
      </c>
      <c r="G47" s="51">
        <f>ROUND(IF($R$38=0,Budget!C21,IF($R$38=1,Budget!C21*B47,IF($R$38=2,Budget!C21*B47*B47,IF($R$38=3,Budget!C21*B47*B47*B47,IF($R$38=4,Budget!C21*B47*B47*B47*B47,IF($R$38=5,Budget!C21*B47*B47*B47*B47*B47)))))),0)</f>
        <v>0</v>
      </c>
      <c r="H47" s="51">
        <f>ROUND(IF($S$38=0,Budget!C21,IF($S$38=1,Budget!C21*B47,IF($S$38=2,Budget!C21*B47*B47,IF($S$38=3,Budget!C21*B47*B47*B47,IF($S$38=4,Budget!C21*B47*B47*B47*B47,IF($S$38=5,Budget!C21*B47*B47*B47*B47*B47,IF($S$38=6,Budget!C21*B47*B47*B47*B47*B47*B47))))))),0)</f>
        <v>0</v>
      </c>
      <c r="I47" s="24">
        <f>ROUND(IF($B$6=12,(C47*Budget!D21/12*Budget!$K$6),IF(Budget!$K$6-$B$6&lt;0,(C47*Budget!D21/12*Budget!$K$6),(C47*Budget!D21/12*$B$6)+(D47*Budget!D21/12*$B$7))),0)</f>
        <v>0</v>
      </c>
      <c r="J47" s="24">
        <f>ROUND(IF($C$6=12,(D47*Budget!E21/12*Budget!$L$6),IF(Budget!$L$6-$C$6&lt;0,(D47*Budget!E21/12*Budget!$L$6),(D47*Budget!E21/12*$C$6)+(E47*Budget!E21/12*$C$7))),0)</f>
        <v>0</v>
      </c>
      <c r="K47" s="24">
        <f>ROUND(IF($D$6=12,(E47*Budget!F21/12*Budget!$M$6),IF(Budget!$M$6-$D$6&lt;0,(E47*Budget!F21/12*Budget!$M$6),(E47*Budget!F21/12*$D$6)+(F47*Budget!F21/12*$D$7))),0)</f>
        <v>0</v>
      </c>
      <c r="L47" s="24">
        <f>ROUND(IF($E$6=12,(F47*Budget!G21/12*Budget!$N$6),IF(Budget!$N$6-$E$6&lt;0,(F47*Budget!G21/12*Budget!$N$6),(F47*Budget!G21/12*$E$6)+(G47*Budget!G21/12*$E$7))),0)</f>
        <v>0</v>
      </c>
      <c r="M47" s="25">
        <f>ROUND(IF($F$6=12,(G47*Budget!H21/12*Budget!$O$6),IF(Budget!$O$6-$F$6&lt;0,(G47*Budget!H21/12*Budget!$O$6),(G47*Budget!H21/12*$F$6)+(H47*Budget!H21/12*$F$7))),0)</f>
        <v>0</v>
      </c>
      <c r="N47" s="58"/>
      <c r="O47" s="29"/>
      <c r="P47" s="17"/>
      <c r="Q47" s="17"/>
      <c r="R47" s="59"/>
      <c r="S47" s="17"/>
      <c r="U47" s="118"/>
      <c r="V47" s="17"/>
      <c r="W47" s="156"/>
      <c r="X47" s="156"/>
      <c r="Y47" s="156"/>
      <c r="Z47" s="156"/>
      <c r="AA47" s="156"/>
      <c r="AB47" s="156"/>
      <c r="AC47" s="156"/>
      <c r="AD47" s="156"/>
      <c r="AE47" s="156"/>
      <c r="AF47" s="156"/>
      <c r="AG47" s="156"/>
    </row>
    <row r="48" spans="1:33" ht="12.75" customHeight="1" x14ac:dyDescent="0.2">
      <c r="A48" s="18">
        <f>Budget!A22</f>
        <v>12</v>
      </c>
      <c r="B48" s="21">
        <f>(1+Budget!J22)</f>
        <v>1.04</v>
      </c>
      <c r="C48" s="24">
        <f>ROUND(Budget!C22,0)</f>
        <v>0</v>
      </c>
      <c r="D48" s="51">
        <f>ROUND(IF($O$38=0,Budget!C22,Budget!C22*B48),0)</f>
        <v>0</v>
      </c>
      <c r="E48" s="51">
        <f>ROUND(IF($P$38=0,Budget!C22,IF($P$38=1,Budget!C22*B48,IF($P$38=2,Budget!C22*B48*B48))),0)</f>
        <v>0</v>
      </c>
      <c r="F48" s="51">
        <f>ROUND(IF($Q$38=0,Budget!C22,IF($Q$38=1,Budget!C22*B48,IF($Q$38=2,Budget!C22*B48*B48,IF($Q$38=3,Budget!C22*B48*B48*B48)))),0)</f>
        <v>0</v>
      </c>
      <c r="G48" s="51">
        <f>ROUND(IF($R$38=0,Budget!C22,IF($R$38=1,Budget!C22*B48,IF($R$38=2,Budget!C22*B48*B48,IF($R$38=3,Budget!C22*B48*B48*B48,IF($R$38=4,Budget!C22*B48*B48*B48*B48,IF($R$38=5,Budget!C22*B48*B48*B48*B48*B48)))))),0)</f>
        <v>0</v>
      </c>
      <c r="H48" s="51">
        <f>ROUND(IF($S$38=0,Budget!C22,IF($S$38=1,Budget!C22*B48,IF($S$38=2,Budget!C22*B48*B48,IF($S$38=3,Budget!C22*B48*B48*B48,IF($S$38=4,Budget!C22*B48*B48*B48*B48,IF($S$38=5,Budget!C22*B48*B48*B48*B48*B48,IF($S$38=6,Budget!C22*B48*B48*B48*B48*B48*B48))))))),0)</f>
        <v>0</v>
      </c>
      <c r="I48" s="24">
        <f>ROUND(IF($B$6=12,(C48*Budget!D22/12*Budget!$K$6),IF(Budget!$K$6-$B$6&lt;0,(C48*Budget!D22/12*Budget!$K$6),(C48*Budget!D22/12*$B$6)+(D48*Budget!D22/12*$B$7))),0)</f>
        <v>0</v>
      </c>
      <c r="J48" s="24">
        <f>ROUND(IF($C$6=12,(D48*Budget!E22/12*Budget!$L$6),IF(Budget!$L$6-$C$6&lt;0,(D48*Budget!E22/12*Budget!$L$6),(D48*Budget!E22/12*$C$6)+(E48*Budget!E22/12*$C$7))),0)</f>
        <v>0</v>
      </c>
      <c r="K48" s="24">
        <f>ROUND(IF($D$6=12,(E48*Budget!F22/12*Budget!$M$6),IF(Budget!$M$6-$D$6&lt;0,(E48*Budget!F22/12*Budget!$M$6),(E48*Budget!F22/12*$D$6)+(F48*Budget!F22/12*$D$7))),0)</f>
        <v>0</v>
      </c>
      <c r="L48" s="24">
        <f>ROUND(IF($E$6=12,(F48*Budget!G22/12*Budget!$N$6),IF(Budget!$N$6-$E$6&lt;0,(F48*Budget!G22/12*Budget!$N$6),(F48*Budget!G22/12*$E$6)+(G48*Budget!G22/12*$E$7))),0)</f>
        <v>0</v>
      </c>
      <c r="M48" s="25">
        <f>ROUND(IF($F$6=12,(G48*Budget!H22/12*Budget!$O$6),IF(Budget!$O$6-$F$6&lt;0,(G48*Budget!H22/12*Budget!$O$6),(G48*Budget!H22/12*$F$6)+(H48*Budget!H22/12*$F$7))),0)</f>
        <v>0</v>
      </c>
      <c r="N48" s="58"/>
      <c r="O48" s="29"/>
      <c r="P48" s="17"/>
      <c r="Q48" s="17"/>
      <c r="R48" s="59"/>
      <c r="S48" s="17"/>
      <c r="U48" s="118"/>
      <c r="V48" s="17"/>
      <c r="W48" s="156"/>
      <c r="X48" s="156"/>
      <c r="Y48" s="156"/>
      <c r="Z48" s="156"/>
      <c r="AA48" s="156"/>
      <c r="AB48" s="156"/>
      <c r="AC48" s="156"/>
      <c r="AD48" s="156"/>
      <c r="AE48" s="156"/>
      <c r="AF48" s="156"/>
      <c r="AG48" s="156"/>
    </row>
    <row r="49" spans="1:78" ht="12.75" customHeight="1" x14ac:dyDescent="0.2">
      <c r="A49" s="18">
        <f>Budget!A23</f>
        <v>13</v>
      </c>
      <c r="B49" s="21">
        <f>(1+Budget!J23)</f>
        <v>1.04</v>
      </c>
      <c r="C49" s="24">
        <f>ROUND(Budget!C23,0)</f>
        <v>0</v>
      </c>
      <c r="D49" s="51">
        <f>ROUND(IF($O$38=0,Budget!C23,Budget!C23*B49),0)</f>
        <v>0</v>
      </c>
      <c r="E49" s="51">
        <f>ROUND(IF($P$38=0,Budget!C23,IF($P$38=1,Budget!C23*B49,IF($P$38=2,Budget!C23*B49*B49))),0)</f>
        <v>0</v>
      </c>
      <c r="F49" s="51">
        <f>ROUND(IF($Q$38=0,Budget!C23,IF($Q$38=1,Budget!C23*B49,IF($Q$38=2,Budget!C23*B49*B49,IF($Q$38=3,Budget!C23*B49*B49*B49)))),0)</f>
        <v>0</v>
      </c>
      <c r="G49" s="51">
        <f>ROUND(IF($R$38=0,Budget!C23,IF($R$38=1,Budget!C23*B49,IF($R$38=2,Budget!C23*B49*B49,IF($R$38=3,Budget!C23*B49*B49*B49,IF($R$38=4,Budget!C23*B49*B49*B49*B49,IF($R$38=5,Budget!C23*B49*B49*B49*B49*B49)))))),0)</f>
        <v>0</v>
      </c>
      <c r="H49" s="51">
        <f>ROUND(IF($S$38=0,Budget!C23,IF($S$38=1,Budget!C23*B49,IF($S$38=2,Budget!C23*B49*B49,IF($S$38=3,Budget!C23*B49*B49*B49,IF($S$38=4,Budget!C23*B49*B49*B49*B49,IF($S$38=5,Budget!C23*B49*B49*B49*B49*B49,IF($S$38=6,Budget!C23*B49*B49*B49*B49*B49*B49))))))),0)</f>
        <v>0</v>
      </c>
      <c r="I49" s="24">
        <f>ROUND(IF($B$6=12,(C49*Budget!D23/12*Budget!$K$6),IF(Budget!$K$6-$B$6&lt;0,(C49*Budget!D23/12*Budget!$K$6),(C49*Budget!D23/12*$B$6)+(D49*Budget!D23/12*$B$7))),0)</f>
        <v>0</v>
      </c>
      <c r="J49" s="24">
        <f>ROUND(IF($C$6=12,(D49*Budget!E23/12*Budget!$L$6),IF(Budget!$L$6-$C$6&lt;0,(D49*Budget!E23/12*Budget!$L$6),(D49*Budget!E23/12*$C$6)+(E49*Budget!E23/12*$C$7))),0)</f>
        <v>0</v>
      </c>
      <c r="K49" s="24">
        <f>ROUND(IF($D$6=12,(E49*Budget!F23/12*Budget!$M$6),IF(Budget!$M$6-$D$6&lt;0,(E49*Budget!F23/12*Budget!$M$6),(E49*Budget!F23/12*$D$6)+(F49*Budget!F23/12*$D$7))),0)</f>
        <v>0</v>
      </c>
      <c r="L49" s="24">
        <f>ROUND(IF($E$6=12,(F49*Budget!G23/12*Budget!$N$6),IF(Budget!$N$6-$E$6&lt;0,(F49*Budget!G23/12*Budget!$N$6),(F49*Budget!G23/12*$E$6)+(G49*Budget!G23/12*$E$7))),0)</f>
        <v>0</v>
      </c>
      <c r="M49" s="25">
        <f>ROUND(IF($F$6=12,(G49*Budget!H23/12*Budget!$O$6),IF(Budget!$O$6-$F$6&lt;0,(G49*Budget!H23/12*Budget!$O$6),(G49*Budget!H23/12*$F$6)+(H49*Budget!H23/12*$F$7))),0)</f>
        <v>0</v>
      </c>
      <c r="N49" s="58"/>
      <c r="O49" s="29"/>
      <c r="P49" s="17"/>
      <c r="Q49" s="17"/>
      <c r="R49" s="59"/>
      <c r="S49" s="17"/>
      <c r="U49" s="118"/>
      <c r="V49" s="17"/>
      <c r="W49" s="156"/>
      <c r="X49" s="156"/>
      <c r="Y49" s="156"/>
      <c r="Z49" s="156"/>
      <c r="AA49" s="156"/>
      <c r="AB49" s="156"/>
      <c r="AC49" s="156"/>
      <c r="AD49" s="156"/>
      <c r="AE49" s="156"/>
      <c r="AF49" s="156"/>
      <c r="AG49" s="156"/>
    </row>
    <row r="50" spans="1:78" ht="12.75" customHeight="1" x14ac:dyDescent="0.2">
      <c r="A50" s="18">
        <f>Budget!A24</f>
        <v>14</v>
      </c>
      <c r="B50" s="21">
        <f>(1+Budget!J24)</f>
        <v>1.04</v>
      </c>
      <c r="C50" s="24">
        <f>ROUND(Budget!C24,0)</f>
        <v>0</v>
      </c>
      <c r="D50" s="51">
        <f>ROUND(IF($O$38=0,Budget!C24,Budget!C24*B50),0)</f>
        <v>0</v>
      </c>
      <c r="E50" s="51">
        <f>ROUND(IF($P$38=0,Budget!C24,IF($P$38=1,Budget!C24*B50,IF($P$38=2,Budget!C24*B50*B50))),0)</f>
        <v>0</v>
      </c>
      <c r="F50" s="51">
        <f>ROUND(IF($Q$38=0,Budget!C24,IF($Q$38=1,Budget!C24*B50,IF($Q$38=2,Budget!C24*B50*B50,IF($Q$38=3,Budget!C24*B50*B50*B50)))),0)</f>
        <v>0</v>
      </c>
      <c r="G50" s="51">
        <f>ROUND(IF($R$38=0,Budget!C24,IF($R$38=1,Budget!C24*B50,IF($R$38=2,Budget!C24*B50*B50,IF($R$38=3,Budget!C24*B50*B50*B50,IF($R$38=4,Budget!C24*B50*B50*B50*B50,IF($R$38=5,Budget!C24*B50*B50*B50*B50*B50)))))),0)</f>
        <v>0</v>
      </c>
      <c r="H50" s="51">
        <f>ROUND(IF($S$38=0,Budget!C24,IF($S$38=1,Budget!C24*B50,IF($S$38=2,Budget!C24*B50*B50,IF($S$38=3,Budget!C24*B50*B50*B50,IF($S$38=4,Budget!C24*B50*B50*B50*B50,IF($S$38=5,Budget!C24*B50*B50*B50*B50*B50,IF($S$38=6,Budget!C24*B50*B50*B50*B50*B50*B50))))))),0)</f>
        <v>0</v>
      </c>
      <c r="I50" s="24">
        <f>ROUND(IF($B$6=12,(C50*Budget!D24/12*Budget!$K$6),IF(Budget!$K$6-$B$6&lt;0,(C50*Budget!D24/12*Budget!$K$6),(C50*Budget!D24/12*$B$6)+(D50*Budget!D24/12*$B$7))),0)</f>
        <v>0</v>
      </c>
      <c r="J50" s="24">
        <f>ROUND(IF($C$6=12,(D50*Budget!E24/12*Budget!$L$6),IF(Budget!$L$6-$C$6&lt;0,(D50*Budget!E24/12*Budget!$L$6),(D50*Budget!E24/12*$C$6)+(E50*Budget!E24/12*$C$7))),0)</f>
        <v>0</v>
      </c>
      <c r="K50" s="24">
        <f>ROUND(IF($D$6=12,(E50*Budget!F24/12*Budget!$M$6),IF(Budget!$M$6-$D$6&lt;0,(E50*Budget!F24/12*Budget!$M$6),(E50*Budget!F24/12*$D$6)+(F50*Budget!F24/12*$D$7))),0)</f>
        <v>0</v>
      </c>
      <c r="L50" s="24">
        <f>ROUND(IF($E$6=12,(F50*Budget!G24/12*Budget!$N$6),IF(Budget!$N$6-$E$6&lt;0,(F50*Budget!G24/12*Budget!$N$6),(F50*Budget!G24/12*$E$6)+(G50*Budget!G24/12*$E$7))),0)</f>
        <v>0</v>
      </c>
      <c r="M50" s="25">
        <f>ROUND(IF($F$6=12,(G50*Budget!H24/12*Budget!$O$6),IF(Budget!$O$6-$F$6&lt;0,(G50*Budget!H24/12*Budget!$O$6),(G50*Budget!H24/12*$F$6)+(H50*Budget!H24/12*$F$7))),0)</f>
        <v>0</v>
      </c>
      <c r="N50" s="58"/>
      <c r="O50" s="29"/>
      <c r="P50" s="17"/>
      <c r="Q50" s="17"/>
      <c r="R50" s="59"/>
      <c r="S50" s="17"/>
      <c r="U50" s="118"/>
      <c r="V50" s="17"/>
      <c r="W50" s="156"/>
      <c r="X50" s="156"/>
      <c r="Y50" s="156"/>
      <c r="Z50" s="156"/>
      <c r="AA50" s="156"/>
      <c r="AB50" s="156"/>
      <c r="AC50" s="156"/>
      <c r="AD50" s="156"/>
      <c r="AE50" s="156"/>
      <c r="AF50" s="156"/>
      <c r="AG50" s="156"/>
    </row>
    <row r="51" spans="1:78" ht="12.75" customHeight="1" x14ac:dyDescent="0.2">
      <c r="A51" s="18">
        <f>Budget!A25</f>
        <v>15</v>
      </c>
      <c r="B51" s="21">
        <f>(1+Budget!J25)</f>
        <v>1.04</v>
      </c>
      <c r="C51" s="24">
        <f>ROUND(Budget!C25,0)</f>
        <v>0</v>
      </c>
      <c r="D51" s="51">
        <f>ROUND(IF($O$38=0,Budget!C25,Budget!C25*B51),0)</f>
        <v>0</v>
      </c>
      <c r="E51" s="51">
        <f>ROUND(IF($P$38=0,Budget!C25,IF($P$38=1,Budget!C25*B51,IF($P$38=2,Budget!C25*B51*B51))),0)</f>
        <v>0</v>
      </c>
      <c r="F51" s="51">
        <f>ROUND(IF($Q$38=0,Budget!C25,IF($Q$38=1,Budget!C25*B51,IF($Q$38=2,Budget!C25*B51*B51,IF($Q$38=3,Budget!C25*B51*B51*B51)))),0)</f>
        <v>0</v>
      </c>
      <c r="G51" s="51">
        <f>ROUND(IF($R$38=0,Budget!C25,IF($R$38=1,Budget!C25*B51,IF($R$38=2,Budget!C25*B51*B51,IF($R$38=3,Budget!C25*B51*B51*B51,IF($R$38=4,Budget!C25*B51*B51*B51*B51,IF($R$38=5,Budget!C25*B51*B51*B51*B51*B51)))))),0)</f>
        <v>0</v>
      </c>
      <c r="H51" s="51">
        <f>ROUND(IF($S$38=0,Budget!C25,IF($S$38=1,Budget!C25*B51,IF($S$38=2,Budget!C25*B51*B51,IF($S$38=3,Budget!C25*B51*B51*B51,IF($S$38=4,Budget!C25*B51*B51*B51*B51,IF($S$38=5,Budget!C25*B51*B51*B51*B51*B51,IF($S$38=6,Budget!C25*B51*B51*B51*B51*B51*B51))))))),0)</f>
        <v>0</v>
      </c>
      <c r="I51" s="24">
        <f>ROUND(IF($B$6=12,(C51*Budget!D25/12*Budget!$K$6),IF(Budget!$K$6-$B$6&lt;0,(C51*Budget!D25/12*Budget!$K$6),(C51*Budget!D25/12*$B$6)+(D51*Budget!D25/12*$B$7))),0)</f>
        <v>0</v>
      </c>
      <c r="J51" s="24">
        <f>ROUND(IF($C$6=12,(D51*Budget!E25/12*Budget!$L$6),IF(Budget!$L$6-$C$6&lt;0,(D51*Budget!E25/12*Budget!$L$6),(D51*Budget!E25/12*$C$6)+(E51*Budget!E25/12*$C$7))),0)</f>
        <v>0</v>
      </c>
      <c r="K51" s="24">
        <f>ROUND(IF($D$6=12,(E51*Budget!F25/12*Budget!$M$6),IF(Budget!$M$6-$D$6&lt;0,(E51*Budget!F25/12*Budget!$M$6),(E51*Budget!F25/12*$D$6)+(F51*Budget!F25/12*$D$7))),0)</f>
        <v>0</v>
      </c>
      <c r="L51" s="24">
        <f>ROUND(IF($E$6=12,(F51*Budget!G25/12*Budget!$N$6),IF(Budget!$N$6-$E$6&lt;0,(F51*Budget!G25/12*Budget!$N$6),(F51*Budget!G25/12*$E$6)+(G51*Budget!G25/12*$E$7))),0)</f>
        <v>0</v>
      </c>
      <c r="M51" s="25">
        <f>ROUND(IF($F$6=12,(G51*Budget!H25/12*Budget!$O$6),IF(Budget!$O$6-$F$6&lt;0,(G51*Budget!H25/12*Budget!$O$6),(G51*Budget!H25/12*$F$6)+(H51*Budget!H25/12*$F$7))),0)</f>
        <v>0</v>
      </c>
      <c r="N51" s="58"/>
      <c r="O51" s="29"/>
      <c r="P51" s="17"/>
      <c r="Q51" s="17"/>
      <c r="R51" s="59"/>
      <c r="S51" s="17"/>
      <c r="U51" s="118"/>
      <c r="V51" s="17"/>
      <c r="W51" s="156"/>
      <c r="X51" s="156"/>
      <c r="Y51" s="156"/>
      <c r="Z51" s="156"/>
      <c r="AA51" s="156"/>
      <c r="AB51" s="156"/>
      <c r="AC51" s="156"/>
      <c r="AD51" s="156"/>
      <c r="AE51" s="156"/>
      <c r="AF51" s="156"/>
      <c r="AG51" s="156"/>
    </row>
    <row r="52" spans="1:78" ht="12.75" customHeight="1" x14ac:dyDescent="0.2">
      <c r="A52" s="18">
        <f>Budget!A26</f>
        <v>16</v>
      </c>
      <c r="B52" s="21">
        <f>(1+Budget!J26)</f>
        <v>1.04</v>
      </c>
      <c r="C52" s="24">
        <f>ROUND(Budget!C26,0)</f>
        <v>0</v>
      </c>
      <c r="D52" s="51">
        <f>ROUND(IF($O$38=0,Budget!C26,Budget!C26*B52),0)</f>
        <v>0</v>
      </c>
      <c r="E52" s="51">
        <f>ROUND(IF($P$38=0,Budget!C26,IF($P$38=1,Budget!C26*B52,IF($P$38=2,Budget!C26*B52*B52))),0)</f>
        <v>0</v>
      </c>
      <c r="F52" s="51">
        <f>ROUND(IF($Q$38=0,Budget!C26,IF($Q$38=1,Budget!C26*B52,IF($Q$38=2,Budget!C26*B52*B52,IF($Q$38=3,Budget!C26*B52*B52*B52)))),0)</f>
        <v>0</v>
      </c>
      <c r="G52" s="51">
        <f>ROUND(IF($R$38=0,Budget!C26,IF($R$38=1,Budget!C26*B52,IF($R$38=2,Budget!C26*B52*B52,IF($R$38=3,Budget!C26*B52*B52*B52,IF($R$38=4,Budget!C26*B52*B52*B52*B52,IF($R$38=5,Budget!C26*B52*B52*B52*B52*B52)))))),0)</f>
        <v>0</v>
      </c>
      <c r="H52" s="51">
        <f>ROUND(IF($S$38=0,Budget!C26,IF($S$38=1,Budget!C26*B52,IF($S$38=2,Budget!C26*B52*B52,IF($S$38=3,Budget!C26*B52*B52*B52,IF($S$38=4,Budget!C26*B52*B52*B52*B52,IF($S$38=5,Budget!C26*B52*B52*B52*B52*B52,IF($S$38=6,Budget!C26*B52*B52*B52*B52*B52*B52))))))),0)</f>
        <v>0</v>
      </c>
      <c r="I52" s="24">
        <f>ROUND(IF($B$6=12,(C52*Budget!D26/12*Budget!$K$6),IF(Budget!$K$6-$B$6&lt;0,(C52*Budget!D26/12*Budget!$K$6),(C52*Budget!D26/12*$B$6)+(D52*Budget!D26/12*$B$7))),0)</f>
        <v>0</v>
      </c>
      <c r="J52" s="24">
        <f>ROUND(IF($C$6=12,(D52*Budget!E26/12*Budget!$L$6),IF(Budget!$L$6-$C$6&lt;0,(D52*Budget!E26/12*Budget!$L$6),(D52*Budget!E26/12*$C$6)+(E52*Budget!E26/12*$C$7))),0)</f>
        <v>0</v>
      </c>
      <c r="K52" s="24">
        <f>ROUND(IF($D$6=12,(E52*Budget!F26/12*Budget!$M$6),IF(Budget!$M$6-$D$6&lt;0,(E52*Budget!F26/12*Budget!$M$6),(E52*Budget!F26/12*$D$6)+(F52*Budget!F26/12*$D$7))),0)</f>
        <v>0</v>
      </c>
      <c r="L52" s="24">
        <f>ROUND(IF($E$6=12,(F52*Budget!G26/12*Budget!$N$6),IF(Budget!$N$6-$E$6&lt;0,(F52*Budget!G26/12*Budget!$N$6),(F52*Budget!G26/12*$E$6)+(G52*Budget!G26/12*$E$7))),0)</f>
        <v>0</v>
      </c>
      <c r="M52" s="25">
        <f>ROUND(IF($F$6=12,(G52*Budget!H26/12*Budget!$O$6),IF(Budget!$O$6-$F$6&lt;0,(G52*Budget!H26/12*Budget!$O$6),(G52*Budget!H26/12*$F$6)+(H52*Budget!H26/12*$F$7))),0)</f>
        <v>0</v>
      </c>
      <c r="N52" s="58"/>
      <c r="O52" s="29"/>
      <c r="P52" s="17"/>
      <c r="Q52" s="17"/>
      <c r="R52" s="59"/>
      <c r="S52" s="17"/>
      <c r="U52" s="118"/>
      <c r="V52" s="17"/>
      <c r="W52" s="156"/>
      <c r="X52" s="156"/>
      <c r="Y52" s="156"/>
      <c r="Z52" s="156"/>
      <c r="AA52" s="156"/>
      <c r="AB52" s="156"/>
      <c r="AC52" s="156"/>
      <c r="AD52" s="156"/>
      <c r="AE52" s="156"/>
      <c r="AF52" s="156"/>
      <c r="AG52" s="156"/>
    </row>
    <row r="53" spans="1:78" ht="12.75" customHeight="1" x14ac:dyDescent="0.2">
      <c r="A53" s="18">
        <f>Budget!A27</f>
        <v>17</v>
      </c>
      <c r="B53" s="21">
        <f>(1+Budget!J27)</f>
        <v>1.04</v>
      </c>
      <c r="C53" s="24">
        <f>ROUND(Budget!C27,0)</f>
        <v>0</v>
      </c>
      <c r="D53" s="51">
        <f>ROUND(IF($O$38=0,Budget!C27,Budget!C27*B53),0)</f>
        <v>0</v>
      </c>
      <c r="E53" s="51">
        <f>ROUND(IF($P$38=0,Budget!C27,IF($P$38=1,Budget!C27*B53,IF($P$38=2,Budget!C27*B53*B53))),0)</f>
        <v>0</v>
      </c>
      <c r="F53" s="51">
        <f>ROUND(IF($Q$38=0,Budget!C27,IF($Q$38=1,Budget!C27*B53,IF($Q$38=2,Budget!C27*B53*B53,IF($Q$38=3,Budget!C27*B53*B53*B53)))),0)</f>
        <v>0</v>
      </c>
      <c r="G53" s="51">
        <f>ROUND(IF($R$38=0,Budget!C27,IF($R$38=1,Budget!C27*B53,IF($R$38=2,Budget!C27*B53*B53,IF($R$38=3,Budget!C27*B53*B53*B53,IF($R$38=4,Budget!C27*B53*B53*B53*B53,IF($R$38=5,Budget!C27*B53*B53*B53*B53*B53)))))),0)</f>
        <v>0</v>
      </c>
      <c r="H53" s="51">
        <f>ROUND(IF($S$38=0,Budget!C27,IF($S$38=1,Budget!C27*B53,IF($S$38=2,Budget!C27*B53*B53,IF($S$38=3,Budget!C27*B53*B53*B53,IF($S$38=4,Budget!C27*B53*B53*B53*B53,IF($S$38=5,Budget!C27*B53*B53*B53*B53*B53,IF($S$38=6,Budget!C27*B53*B53*B53*B53*B53*B53))))))),0)</f>
        <v>0</v>
      </c>
      <c r="I53" s="24">
        <f>ROUND(IF($B$6=12,(C53*Budget!D27/12*Budget!$K$6),IF(Budget!$K$6-$B$6&lt;0,(C53*Budget!D27/12*Budget!$K$6),(C53*Budget!D27/12*$B$6)+(D53*Budget!D27/12*$B$7))),0)</f>
        <v>0</v>
      </c>
      <c r="J53" s="24">
        <f>ROUND(IF($C$6=12,(D53*Budget!E27/12*Budget!$L$6),IF(Budget!$L$6-$C$6&lt;0,(D53*Budget!E27/12*Budget!$L$6),(D53*Budget!E27/12*$C$6)+(E53*Budget!E27/12*$C$7))),0)</f>
        <v>0</v>
      </c>
      <c r="K53" s="24">
        <f>ROUND(IF($D$6=12,(E53*Budget!F27/12*Budget!$M$6),IF(Budget!$M$6-$D$6&lt;0,(E53*Budget!F27/12*Budget!$M$6),(E53*Budget!F27/12*$D$6)+(F53*Budget!F27/12*$D$7))),0)</f>
        <v>0</v>
      </c>
      <c r="L53" s="24">
        <f>ROUND(IF($E$6=12,(F53*Budget!G27/12*Budget!$N$6),IF(Budget!$N$6-$E$6&lt;0,(F53*Budget!G27/12*Budget!$N$6),(F53*Budget!G27/12*$E$6)+(G53*Budget!G27/12*$E$7))),0)</f>
        <v>0</v>
      </c>
      <c r="M53" s="25">
        <f>ROUND(IF($F$6=12,(G53*Budget!H27/12*Budget!$O$6),IF(Budget!$O$6-$F$6&lt;0,(G53*Budget!H27/12*Budget!$O$6),(G53*Budget!H27/12*$F$6)+(H53*Budget!H27/12*$F$7))),0)</f>
        <v>0</v>
      </c>
      <c r="U53" s="118"/>
      <c r="V53" s="17"/>
      <c r="W53" s="156"/>
      <c r="X53" s="156"/>
      <c r="Y53" s="156"/>
      <c r="Z53" s="156"/>
      <c r="AA53" s="156"/>
      <c r="AB53" s="156"/>
      <c r="AC53" s="156"/>
      <c r="AD53" s="156"/>
      <c r="AE53" s="156"/>
      <c r="AF53" s="156"/>
      <c r="AG53" s="156"/>
    </row>
    <row r="54" spans="1:78" ht="12.75" customHeight="1" x14ac:dyDescent="0.2">
      <c r="A54" s="18">
        <f>Budget!A28</f>
        <v>18</v>
      </c>
      <c r="B54" s="21">
        <f>(1+Budget!J28)</f>
        <v>1.04</v>
      </c>
      <c r="C54" s="24">
        <f>ROUND(Budget!C28,0)</f>
        <v>0</v>
      </c>
      <c r="D54" s="51">
        <f>ROUND(IF($O$38=0,Budget!C28,Budget!C28*B54),0)</f>
        <v>0</v>
      </c>
      <c r="E54" s="51">
        <f>ROUND(IF($P$38=0,Budget!C28,IF($P$38=1,Budget!C28*B54,IF($P$38=2,Budget!C28*B54*B54))),0)</f>
        <v>0</v>
      </c>
      <c r="F54" s="51">
        <f>ROUND(IF($Q$38=0,Budget!C28,IF($Q$38=1,Budget!C28*B54,IF($Q$38=2,Budget!C28*B54*B54,IF($Q$38=3,Budget!C28*B54*B54*B54)))),0)</f>
        <v>0</v>
      </c>
      <c r="G54" s="51">
        <f>ROUND(IF($R$38=0,Budget!C28,IF($R$38=1,Budget!C28*B54,IF($R$38=2,Budget!C28*B54*B54,IF($R$38=3,Budget!C28*B54*B54*B54,IF($R$38=4,Budget!C28*B54*B54*B54*B54,IF($R$38=5,Budget!C28*B54*B54*B54*B54*B54)))))),0)</f>
        <v>0</v>
      </c>
      <c r="H54" s="51">
        <f>ROUND(IF($S$38=0,Budget!C28,IF($S$38=1,Budget!C28*B54,IF($S$38=2,Budget!C28*B54*B54,IF($S$38=3,Budget!C28*B54*B54*B54,IF($S$38=4,Budget!C28*B54*B54*B54*B54,IF($S$38=5,Budget!C28*B54*B54*B54*B54*B54,IF($S$38=6,Budget!C28*B54*B54*B54*B54*B54*B54))))))),0)</f>
        <v>0</v>
      </c>
      <c r="I54" s="24">
        <f>ROUND(IF($B$6=12,(C54*Budget!D28/12*Budget!$K$6),IF(Budget!$K$6-$B$6&lt;0,(C54*Budget!D28/12*Budget!$K$6),(C54*Budget!D28/12*$B$6)+(D54*Budget!D28/12*$B$7))),0)</f>
        <v>0</v>
      </c>
      <c r="J54" s="24">
        <f>ROUND(IF($C$6=12,(D54*Budget!E28/12*Budget!$L$6),IF(Budget!$L$6-$C$6&lt;0,(D54*Budget!E28/12*Budget!$L$6),(D54*Budget!E28/12*$C$6)+(E54*Budget!E28/12*$C$7))),0)</f>
        <v>0</v>
      </c>
      <c r="K54" s="24">
        <f>ROUND(IF($D$6=12,(E54*Budget!F28/12*Budget!$M$6),IF(Budget!$M$6-$D$6&lt;0,(E54*Budget!F28/12*Budget!$M$6),(E54*Budget!F28/12*$D$6)+(F54*Budget!F28/12*$D$7))),0)</f>
        <v>0</v>
      </c>
      <c r="L54" s="24">
        <f>ROUND(IF($E$6=12,(F54*Budget!G28/12*Budget!$N$6),IF(Budget!$N$6-$E$6&lt;0,(F54*Budget!G28/12*Budget!$N$6),(F54*Budget!G28/12*$E$6)+(G54*Budget!G28/12*$E$7))),0)</f>
        <v>0</v>
      </c>
      <c r="M54" s="25">
        <f>ROUND(IF($F$6=12,(G54*Budget!H28/12*Budget!$O$6),IF(Budget!$O$6-$F$6&lt;0,(G54*Budget!H28/12*Budget!$O$6),(G54*Budget!H28/12*$F$6)+(H54*Budget!H28/12*$F$7))),0)</f>
        <v>0</v>
      </c>
      <c r="U54" s="118"/>
      <c r="V54" s="17"/>
      <c r="W54" s="156"/>
      <c r="X54" s="156"/>
      <c r="Y54" s="156"/>
      <c r="Z54" s="156"/>
      <c r="AA54" s="156"/>
      <c r="AB54" s="156"/>
      <c r="AC54" s="156"/>
      <c r="AD54" s="156"/>
      <c r="AE54" s="156"/>
      <c r="AF54" s="156"/>
      <c r="AG54" s="156"/>
    </row>
    <row r="55" spans="1:78" ht="12.75" customHeight="1" x14ac:dyDescent="0.2">
      <c r="A55" s="18">
        <f>Budget!A29</f>
        <v>19</v>
      </c>
      <c r="B55" s="21">
        <f>(1+Budget!J29)</f>
        <v>1.04</v>
      </c>
      <c r="C55" s="24">
        <f>ROUND(Budget!C29,0)</f>
        <v>0</v>
      </c>
      <c r="D55" s="51">
        <f>ROUND(IF($O$38=0,Budget!C29,Budget!C29*B55),0)</f>
        <v>0</v>
      </c>
      <c r="E55" s="51">
        <f>ROUND(IF($P$38=0,Budget!C29,IF($P$38=1,Budget!C29*B55,IF($P$38=2,Budget!C29*B55*B55))),0)</f>
        <v>0</v>
      </c>
      <c r="F55" s="51">
        <f>ROUND(IF($Q$38=0,Budget!C29,IF($Q$38=1,Budget!C29*B55,IF($Q$38=2,Budget!C29*B55*B55,IF($Q$38=3,Budget!C29*B55*B55*B55)))),0)</f>
        <v>0</v>
      </c>
      <c r="G55" s="51">
        <f>ROUND(IF($R$38=0,Budget!C29,IF($R$38=1,Budget!C29*B55,IF($R$38=2,Budget!C29*B55*B55,IF($R$38=3,Budget!C29*B55*B55*B55,IF($R$38=4,Budget!C29*B55*B55*B55*B55,IF($R$38=5,Budget!C29*B55*B55*B55*B55*B55)))))),0)</f>
        <v>0</v>
      </c>
      <c r="H55" s="51">
        <f>ROUND(IF($S$38=0,Budget!C29,IF($S$38=1,Budget!C29*B55,IF($S$38=2,Budget!C29*B55*B55,IF($S$38=3,Budget!C29*B55*B55*B55,IF($S$38=4,Budget!C29*B55*B55*B55*B55,IF($S$38=5,Budget!C29*B55*B55*B55*B55*B55,IF($S$38=6,Budget!C29*B55*B55*B55*B55*B55*B55))))))),0)</f>
        <v>0</v>
      </c>
      <c r="I55" s="24">
        <f>ROUND(IF($B$6=12,(C55*Budget!D29/12*Budget!$K$6),IF(Budget!$K$6-$B$6&lt;0,(C55*Budget!D29/12*Budget!$K$6),(C55*Budget!D29/12*$B$6)+(D55*Budget!D29/12*$B$7))),0)</f>
        <v>0</v>
      </c>
      <c r="J55" s="24">
        <f>ROUND(IF($C$6=12,(D55*Budget!E29/12*Budget!$L$6),IF(Budget!$L$6-$C$6&lt;0,(D55*Budget!E29/12*Budget!$L$6),(D55*Budget!E29/12*$C$6)+(E55*Budget!E29/12*$C$7))),0)</f>
        <v>0</v>
      </c>
      <c r="K55" s="24">
        <f>ROUND(IF($D$6=12,(E55*Budget!F29/12*Budget!$M$6),IF(Budget!$M$6-$D$6&lt;0,(E55*Budget!F29/12*Budget!$M$6),(E55*Budget!F29/12*$D$6)+(F55*Budget!F29/12*$D$7))),0)</f>
        <v>0</v>
      </c>
      <c r="L55" s="24">
        <f>ROUND(IF($E$6=12,(F55*Budget!G29/12*Budget!$N$6),IF(Budget!$N$6-$E$6&lt;0,(F55*Budget!G29/12*Budget!$N$6),(F55*Budget!G29/12*$E$6)+(G55*Budget!G29/12*$E$7))),0)</f>
        <v>0</v>
      </c>
      <c r="M55" s="25">
        <f>ROUND(IF($F$6=12,(G55*Budget!H29/12*Budget!$O$6),IF(Budget!$O$6-$F$6&lt;0,(G55*Budget!H29/12*Budget!$O$6),(G55*Budget!H29/12*$F$6)+(H55*Budget!H29/12*$F$7))),0)</f>
        <v>0</v>
      </c>
      <c r="U55" s="118"/>
      <c r="V55" s="17"/>
      <c r="W55" s="156"/>
      <c r="X55" s="156"/>
      <c r="Y55" s="156"/>
      <c r="Z55" s="156"/>
      <c r="AA55" s="156"/>
      <c r="AB55" s="156"/>
      <c r="AC55" s="156"/>
      <c r="AD55" s="156"/>
      <c r="AE55" s="156"/>
      <c r="AF55" s="156"/>
      <c r="AG55" s="156"/>
    </row>
    <row r="56" spans="1:78" ht="12.75" customHeight="1" x14ac:dyDescent="0.2">
      <c r="A56" s="18">
        <f>Budget!A30</f>
        <v>20</v>
      </c>
      <c r="B56" s="21">
        <f>(1+Budget!J30)</f>
        <v>1.04</v>
      </c>
      <c r="C56" s="24">
        <f>ROUND(Budget!C30,0)</f>
        <v>0</v>
      </c>
      <c r="D56" s="51">
        <f>ROUND(IF($O$38=0,Budget!C30,Budget!C30*B56),0)</f>
        <v>0</v>
      </c>
      <c r="E56" s="51">
        <f>ROUND(IF($P$38=0,Budget!C30,IF($P$38=1,Budget!C30*B56,IF($P$38=2,Budget!C30*B56*B56))),0)</f>
        <v>0</v>
      </c>
      <c r="F56" s="51">
        <f>ROUND(IF($Q$38=0,Budget!C30,IF($Q$38=1,Budget!C30*B56,IF($Q$38=2,Budget!C30*B56*B56,IF($Q$38=3,Budget!C30*B56*B56*B56)))),0)</f>
        <v>0</v>
      </c>
      <c r="G56" s="51">
        <f>ROUND(IF($R$38=0,Budget!C30,IF($R$38=1,Budget!C30*B56,IF($R$38=2,Budget!C30*B56*B56,IF($R$38=3,Budget!C30*B56*B56*B56,IF($R$38=4,Budget!C30*B56*B56*B56*B56,IF($R$38=5,Budget!C30*B56*B56*B56*B56*B56)))))),0)</f>
        <v>0</v>
      </c>
      <c r="H56" s="51">
        <f>ROUND(IF($S$38=0,Budget!C30,IF($S$38=1,Budget!C30*B56,IF($S$38=2,Budget!C30*B56*B56,IF($S$38=3,Budget!C30*B56*B56*B56,IF($S$38=4,Budget!C30*B56*B56*B56*B56,IF($S$38=5,Budget!C30*B56*B56*B56*B56*B56,IF($S$38=6,Budget!C30*B56*B56*B56*B56*B56*B56))))))),0)</f>
        <v>0</v>
      </c>
      <c r="I56" s="24">
        <f>ROUND(IF($B$6=12,(C56*Budget!D30/12*Budget!$K$6),IF(Budget!$K$6-$B$6&lt;0,(C56*Budget!D30/12*Budget!$K$6),(C56*Budget!D30/12*$B$6)+(D56*Budget!D30/12*$B$7))),0)</f>
        <v>0</v>
      </c>
      <c r="J56" s="24">
        <f>ROUND(IF($C$6=12,(D56*Budget!E30/12*Budget!$L$6),IF(Budget!$L$6-$C$6&lt;0,(D56*Budget!E30/12*Budget!$L$6),(D56*Budget!E30/12*$C$6)+(E56*Budget!E30/12*$C$7))),0)</f>
        <v>0</v>
      </c>
      <c r="K56" s="24">
        <f>ROUND(IF($D$6=12,(E56*Budget!F30/12*Budget!$M$6),IF(Budget!$M$6-$D$6&lt;0,(E56*Budget!F30/12*Budget!$M$6),(E56*Budget!F30/12*$D$6)+(F56*Budget!F30/12*$D$7))),0)</f>
        <v>0</v>
      </c>
      <c r="L56" s="24">
        <f>ROUND(IF($E$6=12,(F56*Budget!G30/12*Budget!$N$6),IF(Budget!$N$6-$E$6&lt;0,(F56*Budget!G30/12*Budget!$N$6),(F56*Budget!G30/12*$E$6)+(G56*Budget!G30/12*$E$7))),0)</f>
        <v>0</v>
      </c>
      <c r="M56" s="25">
        <f>ROUND(IF($F$6=12,(G56*Budget!H30/12*Budget!$O$6),IF(Budget!$O$6-$F$6&lt;0,(G56*Budget!H30/12*Budget!$O$6),(G56*Budget!H30/12*$F$6)+(H56*Budget!H30/12*$F$7))),0)</f>
        <v>0</v>
      </c>
      <c r="U56" s="118"/>
      <c r="V56" s="17"/>
      <c r="W56" s="156"/>
      <c r="X56" s="156"/>
      <c r="Y56" s="156"/>
      <c r="Z56" s="156"/>
      <c r="AA56" s="156"/>
      <c r="AB56" s="156"/>
      <c r="AC56" s="156"/>
      <c r="AD56" s="156"/>
      <c r="AE56" s="156"/>
      <c r="AF56" s="156"/>
      <c r="AG56" s="156"/>
    </row>
    <row r="57" spans="1:78" ht="12.75" customHeight="1" x14ac:dyDescent="0.2">
      <c r="B57" s="17"/>
    </row>
    <row r="58" spans="1:78" ht="12.75" customHeight="1" x14ac:dyDescent="0.2"/>
    <row r="59" spans="1:78" ht="12.75" customHeight="1" thickBot="1" x14ac:dyDescent="0.25">
      <c r="A59" s="96" t="s">
        <v>161</v>
      </c>
      <c r="B59" s="61"/>
      <c r="E59" s="62"/>
      <c r="L59" s="63"/>
      <c r="M59" s="17"/>
      <c r="N59" s="17"/>
      <c r="O59" s="17"/>
      <c r="P59" s="17"/>
      <c r="Q59" s="17"/>
      <c r="R59" s="17"/>
      <c r="S59" s="59"/>
      <c r="T59" s="17"/>
      <c r="U59" s="17"/>
      <c r="V59" s="17"/>
      <c r="W59" s="17"/>
      <c r="X59" s="17"/>
      <c r="Y59" s="17"/>
      <c r="AP59" s="64"/>
      <c r="AS59" s="65"/>
      <c r="AT59" s="66"/>
      <c r="AX59" s="67"/>
      <c r="AY59" s="68"/>
      <c r="AZ59" s="66"/>
      <c r="BA59" s="67"/>
      <c r="BB59" s="66"/>
      <c r="BF59" s="67"/>
      <c r="BG59" s="66"/>
      <c r="BK59" s="67"/>
      <c r="BL59" s="69"/>
      <c r="BM59" s="69"/>
      <c r="BN59" s="69"/>
      <c r="BO59" s="69"/>
      <c r="BP59" s="69"/>
    </row>
    <row r="60" spans="1:78" ht="12.75" customHeight="1" x14ac:dyDescent="0.2">
      <c r="A60" s="78" t="s">
        <v>162</v>
      </c>
      <c r="B60" s="79"/>
      <c r="C60" s="79"/>
      <c r="D60" s="79"/>
      <c r="E60" s="80"/>
      <c r="F60" s="79"/>
      <c r="G60" s="79"/>
      <c r="H60" s="79"/>
      <c r="I60" s="79"/>
      <c r="J60" s="79"/>
      <c r="K60" s="79"/>
      <c r="L60" s="79"/>
      <c r="M60" s="79"/>
      <c r="N60" s="81"/>
      <c r="O60" s="575"/>
      <c r="P60" s="575"/>
      <c r="Q60" s="575"/>
      <c r="R60" s="576"/>
      <c r="S60" s="576"/>
      <c r="T60" s="576"/>
      <c r="V60" s="88" t="s">
        <v>163</v>
      </c>
      <c r="W60" s="79"/>
      <c r="X60" s="89"/>
      <c r="Y60" s="79"/>
      <c r="Z60" s="79"/>
      <c r="AA60" s="90"/>
      <c r="AB60" s="78" t="s">
        <v>164</v>
      </c>
      <c r="AC60" s="79"/>
      <c r="AD60" s="79"/>
      <c r="AE60" s="79"/>
      <c r="AF60" s="79"/>
      <c r="AZ60" s="64"/>
      <c r="BC60" s="65"/>
      <c r="BD60" s="66"/>
      <c r="BH60" s="67"/>
      <c r="BI60" s="68"/>
      <c r="BJ60" s="66"/>
      <c r="BK60" s="67"/>
      <c r="BL60" s="66"/>
      <c r="BP60" s="67"/>
      <c r="BQ60" s="66"/>
      <c r="BU60" s="67"/>
      <c r="BV60" s="69"/>
      <c r="BW60" s="69"/>
      <c r="BX60" s="69"/>
      <c r="BY60" s="69"/>
      <c r="BZ60" s="69"/>
    </row>
    <row r="61" spans="1:78" ht="12.75" customHeight="1" x14ac:dyDescent="0.2">
      <c r="A61" s="60" t="s">
        <v>216</v>
      </c>
      <c r="B61" s="23" t="s">
        <v>127</v>
      </c>
      <c r="C61" s="23" t="s">
        <v>128</v>
      </c>
      <c r="D61" s="23" t="s">
        <v>129</v>
      </c>
      <c r="E61" s="23" t="s">
        <v>130</v>
      </c>
      <c r="F61" s="23" t="s">
        <v>131</v>
      </c>
      <c r="G61" s="23" t="s">
        <v>132</v>
      </c>
      <c r="H61" s="23" t="s">
        <v>133</v>
      </c>
      <c r="I61" s="23" t="s">
        <v>134</v>
      </c>
      <c r="J61" s="23" t="s">
        <v>135</v>
      </c>
      <c r="K61" s="23" t="s">
        <v>136</v>
      </c>
      <c r="L61" s="23" t="s">
        <v>137</v>
      </c>
      <c r="M61" s="23" t="s">
        <v>138</v>
      </c>
      <c r="N61" s="23" t="s">
        <v>139</v>
      </c>
      <c r="O61" s="23" t="s">
        <v>140</v>
      </c>
      <c r="P61" s="23" t="s">
        <v>141</v>
      </c>
      <c r="Q61" s="23" t="s">
        <v>142</v>
      </c>
      <c r="R61" s="577" t="s">
        <v>334</v>
      </c>
      <c r="S61" s="577" t="s">
        <v>335</v>
      </c>
      <c r="T61" s="577" t="s">
        <v>336</v>
      </c>
      <c r="U61" s="63"/>
      <c r="V61" s="82" t="s">
        <v>154</v>
      </c>
      <c r="W61" s="86" t="s">
        <v>155</v>
      </c>
      <c r="X61" s="87" t="s">
        <v>156</v>
      </c>
      <c r="Y61" s="23" t="s">
        <v>157</v>
      </c>
      <c r="Z61" s="23" t="s">
        <v>158</v>
      </c>
      <c r="AA61" s="91" t="s">
        <v>159</v>
      </c>
      <c r="AB61" s="82" t="s">
        <v>154</v>
      </c>
      <c r="AC61" s="86" t="s">
        <v>155</v>
      </c>
      <c r="AD61" s="87" t="s">
        <v>156</v>
      </c>
      <c r="AE61" s="23" t="s">
        <v>157</v>
      </c>
      <c r="AF61" s="23" t="s">
        <v>158</v>
      </c>
      <c r="AW61" s="64"/>
      <c r="AZ61" s="65"/>
      <c r="BA61" s="66"/>
      <c r="BE61" s="67"/>
      <c r="BF61" s="68"/>
      <c r="BG61" s="66"/>
      <c r="BH61" s="67"/>
      <c r="BI61" s="66"/>
      <c r="BM61" s="67"/>
      <c r="BN61" s="66"/>
      <c r="BR61" s="67"/>
      <c r="BS61" s="69"/>
      <c r="BT61" s="69"/>
      <c r="BU61" s="69"/>
      <c r="BV61" s="69"/>
      <c r="BW61" s="69"/>
    </row>
    <row r="62" spans="1:78" ht="12.75" customHeight="1" x14ac:dyDescent="0.2">
      <c r="A62" s="82" t="s">
        <v>42</v>
      </c>
      <c r="B62" s="23">
        <v>0.41299999999999998</v>
      </c>
      <c r="C62" s="23">
        <v>0.42199999999999999</v>
      </c>
      <c r="D62" s="23">
        <f>IF(Budget!$C$7="No",0.4417,0.434)</f>
        <v>0.434</v>
      </c>
      <c r="E62" s="23">
        <f>IF(Budget!$C$7="No",0.424,0.421)</f>
        <v>0.42099999999999999</v>
      </c>
      <c r="F62" s="23">
        <f>IF(Budget!$C$7="No",0.407,0.404)</f>
        <v>0.40400000000000003</v>
      </c>
      <c r="G62" s="23">
        <f>IF(Budget!$C$7="No",0.407,0.404)</f>
        <v>0.40400000000000003</v>
      </c>
      <c r="H62" s="23">
        <f>IF(Budget!$C$7="No",0.4028,0.396)</f>
        <v>0.39600000000000002</v>
      </c>
      <c r="I62" s="23">
        <f>IF(Budget!$C$7="No",0.4168,0.41)</f>
        <v>0.41</v>
      </c>
      <c r="J62" s="23">
        <f>IF(Budget!$C$7="No",0.4455,0.439)</f>
        <v>0.439</v>
      </c>
      <c r="K62" s="23">
        <f>IF(Budget!$C$7="No",0.4535,0.447)</f>
        <v>0.44700000000000001</v>
      </c>
      <c r="L62" s="23">
        <f t="shared" ref="L62:R62" si="18">K62</f>
        <v>0.44700000000000001</v>
      </c>
      <c r="M62" s="23">
        <f t="shared" si="18"/>
        <v>0.44700000000000001</v>
      </c>
      <c r="N62" s="23">
        <f t="shared" si="18"/>
        <v>0.44700000000000001</v>
      </c>
      <c r="O62" s="23">
        <f t="shared" si="18"/>
        <v>0.44700000000000001</v>
      </c>
      <c r="P62" s="23">
        <f t="shared" si="18"/>
        <v>0.44700000000000001</v>
      </c>
      <c r="Q62" s="23">
        <f t="shared" si="18"/>
        <v>0.44700000000000001</v>
      </c>
      <c r="R62" s="595">
        <f t="shared" si="18"/>
        <v>0.44700000000000001</v>
      </c>
      <c r="S62" s="595">
        <f t="shared" ref="S62:S67" si="19">R62</f>
        <v>0.44700000000000001</v>
      </c>
      <c r="T62" s="595">
        <f t="shared" ref="T62:T67" si="20">S62</f>
        <v>0.44700000000000001</v>
      </c>
      <c r="U62" s="69"/>
      <c r="V62" s="20">
        <f t="shared" ref="V62:V67" si="21">IF($B$4=$B$61,B62,IF($B$4=$C$61,C62,IF($B$4=$D$61,D62,IF($B$4=$E$61,E62,IF($B$4=$F$61,F62,IF($B$4=$G$61,G62,IF($B$4=$H$61,H62,IF($B$4=$I$61,I62,IF($B$4=$J$61,J62,IF($B$4=$K$61,K62,IF($B$4=$L$61,L62,IF($B$4=$M$61,M62,IF($B$4=$N$61,N62,IF($B$4=$O$61,O62,IF($B$4=$P$61,P62,IF($B$4=$Q$61,Q62,IF($B$4=$R$61,R62,IF($B$4=$S$61,S62,IF($B$4=$T$61,T62,FALSE)))))))))))))))))))</f>
        <v>0.44700000000000001</v>
      </c>
      <c r="W62" s="20">
        <f t="shared" ref="W62:W67" si="22">IF($C$4=$B$61,B62,IF($C$4=$C$61,C62,IF($C$4=$D$61,D62,IF($C$4=$E$61,E62,IF($C$4=$F$61,F62,IF($C$4=$G$61,G62,IF($C$4=$H$61,H62,IF($C$4=$I$61,I62,IF($C$4=$J$61,J62,IF($C$4=$K$61,K62,IF($C$4=$L$61,L62,IF($C$4=$M$61,M62,IF($C$4=$N$61,N62,IF($C$4=$O$61,O62,IF($C$4=$P$61,P62,IF($C$4=$Q$61,Q62,IF($C$4=$R$61,R62,IF($C$4=$S$61,S62,IF($C$4=$T$61,T62,FALSE)))))))))))))))))))</f>
        <v>0.44700000000000001</v>
      </c>
      <c r="X62" s="20">
        <f t="shared" ref="X62:X67" si="23">IF($D$4=$B$61,C62,IF($D$4=$C$61,D62,IF($D$4=$D$61,E62,IF($D$4=$E$61,F62,IF($D$4=$F$61,G62,IF($D$4=$G$61,H62,IF($D$4=$H$61,I62,IF($D$4=$I$61,J62,IF($D$4=$J$61,K62,IF($D$4=$K$61,L62,IF($D$4=$L$61,M62,IF($D$4=$M$61,N62,IF($D$4=$N$61,O62,IF($D$4=$O$61,P62,IF($D$4=$P$61,Q62,IF($D$4=$Q$61,R62,IF($D$4=$R$61,S62,IF($D$4=$S$61,T62,IF($D$4=$T$61,U62,FALSE)))))))))))))))))))</f>
        <v>0.44700000000000001</v>
      </c>
      <c r="Y62" s="20">
        <f t="shared" ref="Y62:Y67" si="24">IF($E$4=$B$61,D62,IF($E$4=$C$61,E62,IF($E$4=$D$61,F62,IF($E$4=$E$61,G62,IF($E$4=$F$61,H62,IF($E$4=$G$61,I62,IF($E$4=$H$61,J62,IF($E$4=$I$61,K62,IF($E$4=$J$61,L62,IF($E$4=$K$61,M62,IF($E$4=$L$61,N62,IF($E$4=$M$61,O62,IF($E$4=$N$61,P62,IF($E$4=$O$61,Q62,IF($E$4=$P$61,R62,IF($E$4=$Q$61,S62,IF($E$4=$R$61,T62,IF($E$4=$S$61,U62,IF($E$4=$T$61,V62,FALSE)))))))))))))))))))</f>
        <v>0.44700000000000001</v>
      </c>
      <c r="Z62" s="20">
        <f t="shared" ref="Z62:Z67" si="25">IF($F$4=$B$61,E62,IF($F$4=$C$61,F62,IF($F$4=$D$61,G62,IF($F$4=$E$61,H62,IF($F$4=$F$61,I62,IF($F$4=$G$61,J62,IF($F$4=$H$61,K62,IF($F$4=$I$61,L62,IF($F$4=$J$61,M62,IF($F$4=$K$61,N62,IF($F$4=$L$61,O62,IF($F$4=$M$61,P62,IF($F$4=$N$61,Q62,IF($F$4=$O$61,R62,IF($F$4=$P$61,S62,IF($F$4=$Q$61,T62,IF($F$4=$R$61,U62,IF($F$4=$S$61,V62,IF($F$4=$T$61,W62,FALSE)))))))))))))))))))</f>
        <v>0.44700000000000001</v>
      </c>
      <c r="AA62" s="20">
        <f t="shared" ref="AA62:AA67" si="26">IF($G$4=$B$61,F62,IF($G$4=$C$61,G62,IF($G$4=$D$61,H62,IF($G$4=$E$61,I62,IF($G$4=$F$61,J62,IF($G$4=$G$61,K62,IF($G$4=$H$61,L62,IF($G$4=$I$61,M62,IF($G$4=$J$61,N62,IF($G$4=$K$61,O62,IF($G$4=$L$61,P62,IF($G$4=$M$61,Q62,IF($G$4=$N$61,R62,IF($G$4=$O$61,S62,IF($G$4=$P$61,T62,IF($G$4=$Q$61,U62,IF($G$4=$R$61,V62,IF($G$4=$S$61,W62,IF($G$4=$T$61,X62,FALSE)))))))))))))))))))</f>
        <v>0.44700000000000001</v>
      </c>
      <c r="AB62" s="20">
        <f>((V62*$B$6)+(W62*$B$7))/$B$5</f>
        <v>0.44700000000000001</v>
      </c>
      <c r="AC62" s="19">
        <f>IF(Budget!$L$6=0,,(((W62*$C$6)+(X62*$C$7))/$C$5))</f>
        <v>0.44700000000000001</v>
      </c>
      <c r="AD62" s="19">
        <f>IF(Budget!$M$6=0,,(((X62*$D$6)+(Y62*$D$7))/$D$5))</f>
        <v>0.44700000000000001</v>
      </c>
      <c r="AE62" s="19">
        <f>IF(Budget!$N$6=0,,(((Y62*$E$6)+(Z62*$E$7))/$E$5))</f>
        <v>0.44700000000000001</v>
      </c>
      <c r="AF62" s="19">
        <f>IF(Budget!$O$6=0,,(((Z62*$F$6)+(AA62*$F$7))/$F$5))</f>
        <v>0.44700000000000001</v>
      </c>
      <c r="AG62" s="69"/>
      <c r="AH62" s="69"/>
      <c r="AI62" s="69"/>
      <c r="AJ62" s="69"/>
      <c r="AK62" s="63"/>
      <c r="AL62" s="63"/>
      <c r="AM62" s="63"/>
      <c r="AO62" s="64"/>
      <c r="AP62" s="64"/>
      <c r="AQ62" s="64"/>
      <c r="AR62" s="64"/>
      <c r="AS62" s="64"/>
      <c r="AT62" s="64"/>
      <c r="AW62" s="64"/>
      <c r="AZ62" s="65"/>
      <c r="BA62" s="66"/>
      <c r="BE62" s="67"/>
      <c r="BF62" s="68"/>
      <c r="BG62" s="66"/>
      <c r="BH62" s="67"/>
      <c r="BI62" s="66"/>
      <c r="BM62" s="67"/>
      <c r="BN62" s="66"/>
      <c r="BR62" s="67"/>
      <c r="BS62" s="69"/>
      <c r="BT62" s="69"/>
      <c r="BU62" s="69"/>
      <c r="BV62" s="69"/>
      <c r="BW62" s="69"/>
    </row>
    <row r="63" spans="1:78" ht="12.75" customHeight="1" x14ac:dyDescent="0.2">
      <c r="A63" s="82" t="s">
        <v>41</v>
      </c>
      <c r="B63" s="23">
        <v>0.52400000000000002</v>
      </c>
      <c r="C63" s="23">
        <v>0.53</v>
      </c>
      <c r="D63" s="23">
        <f>IF(Budget!$C$7="No",0.5557,0.548)</f>
        <v>0.54800000000000004</v>
      </c>
      <c r="E63" s="23">
        <f>IF(Budget!$C$7="No",0.524,0.521)</f>
        <v>0.52100000000000002</v>
      </c>
      <c r="F63" s="23">
        <f>IF(Budget!$C$7="No",0.444,0.441)</f>
        <v>0.441</v>
      </c>
      <c r="G63" s="23">
        <f>IF(Budget!$C$7="No",0.449,0.446)</f>
        <v>0.44600000000000001</v>
      </c>
      <c r="H63" s="23">
        <f>IF(Budget!$C$7="No",0.4408,0.434)</f>
        <v>0.434</v>
      </c>
      <c r="I63" s="23">
        <f>IF(Budget!$C$7="No",0.4478,0.441)</f>
        <v>0.441</v>
      </c>
      <c r="J63" s="23">
        <f>IF(Budget!$C$7="No",0.5115,0.505)</f>
        <v>0.505</v>
      </c>
      <c r="K63" s="23">
        <f>IF(Budget!$C$7="No",0.5645,0.558)</f>
        <v>0.55800000000000005</v>
      </c>
      <c r="L63" s="23">
        <f t="shared" ref="L63:R63" si="27">K63</f>
        <v>0.55800000000000005</v>
      </c>
      <c r="M63" s="23">
        <f t="shared" si="27"/>
        <v>0.55800000000000005</v>
      </c>
      <c r="N63" s="23">
        <f t="shared" si="27"/>
        <v>0.55800000000000005</v>
      </c>
      <c r="O63" s="23">
        <f t="shared" si="27"/>
        <v>0.55800000000000005</v>
      </c>
      <c r="P63" s="23">
        <f t="shared" si="27"/>
        <v>0.55800000000000005</v>
      </c>
      <c r="Q63" s="23">
        <f t="shared" si="27"/>
        <v>0.55800000000000005</v>
      </c>
      <c r="R63" s="595">
        <f t="shared" si="27"/>
        <v>0.55800000000000005</v>
      </c>
      <c r="S63" s="595">
        <f t="shared" si="19"/>
        <v>0.55800000000000005</v>
      </c>
      <c r="T63" s="595">
        <f t="shared" si="20"/>
        <v>0.55800000000000005</v>
      </c>
      <c r="U63" s="69"/>
      <c r="V63" s="20">
        <f t="shared" si="21"/>
        <v>0.55800000000000005</v>
      </c>
      <c r="W63" s="20">
        <f t="shared" si="22"/>
        <v>0.55800000000000005</v>
      </c>
      <c r="X63" s="20">
        <f t="shared" si="23"/>
        <v>0.55800000000000005</v>
      </c>
      <c r="Y63" s="20">
        <f t="shared" si="24"/>
        <v>0.55800000000000005</v>
      </c>
      <c r="Z63" s="20">
        <f t="shared" si="25"/>
        <v>0.55800000000000005</v>
      </c>
      <c r="AA63" s="20">
        <f t="shared" si="26"/>
        <v>0.55800000000000005</v>
      </c>
      <c r="AB63" s="20">
        <f t="shared" ref="AB63:AB67" si="28">((V63*$B$6)+(W63*$B$7))/$B$5</f>
        <v>0.55800000000000005</v>
      </c>
      <c r="AC63" s="19">
        <f>IF(Budget!$L$6=0,,(((W63*$C$6)+(X63*$C$7))/$C$5))</f>
        <v>0.55800000000000005</v>
      </c>
      <c r="AD63" s="19">
        <f>IF(Budget!$M$6=0,,(((X63*$D$6)+(Y63*$D$7))/$D$5))</f>
        <v>0.55800000000000005</v>
      </c>
      <c r="AE63" s="19">
        <f>IF(Budget!$N$6=0,,(((Y63*$E$6)+(Z63*$E$7))/$E$5))</f>
        <v>0.55800000000000005</v>
      </c>
      <c r="AF63" s="19">
        <f>IF(Budget!$O$6=0,,(((Z63*$F$6)+(AA63*$F$7))/$F$5))</f>
        <v>0.55800000000000005</v>
      </c>
      <c r="AG63" s="74"/>
      <c r="AH63" s="74"/>
      <c r="AI63" s="74"/>
      <c r="AJ63" s="74"/>
      <c r="AK63" s="74"/>
      <c r="AL63" s="74"/>
      <c r="AM63" s="74"/>
      <c r="AN63" s="75"/>
      <c r="AO63" s="64"/>
      <c r="AP63" s="64"/>
      <c r="AQ63" s="64"/>
      <c r="AR63" s="64"/>
      <c r="AS63" s="64"/>
      <c r="AT63" s="64"/>
      <c r="AU63" s="64"/>
      <c r="AW63" s="64"/>
      <c r="AZ63" s="65"/>
      <c r="BA63" s="66"/>
      <c r="BE63" s="67"/>
      <c r="BF63" s="68"/>
      <c r="BG63" s="66"/>
      <c r="BH63" s="67"/>
      <c r="BI63" s="66"/>
      <c r="BM63" s="67"/>
      <c r="BN63" s="66"/>
      <c r="BR63" s="67"/>
      <c r="BS63" s="69"/>
      <c r="BT63" s="69"/>
      <c r="BU63" s="69"/>
      <c r="BV63" s="69"/>
      <c r="BW63" s="69"/>
    </row>
    <row r="64" spans="1:78" ht="12.75" customHeight="1" x14ac:dyDescent="0.2">
      <c r="A64" s="82" t="s">
        <v>43</v>
      </c>
      <c r="B64" s="23">
        <v>0.626</v>
      </c>
      <c r="C64" s="23">
        <v>0.63700000000000001</v>
      </c>
      <c r="D64" s="23">
        <f>IF(Budget!$C$7="No",0.6687,0.661)</f>
        <v>0.66100000000000003</v>
      </c>
      <c r="E64" s="23">
        <f>IF(Budget!$C$7="No",0.641,0.638)</f>
        <v>0.63800000000000001</v>
      </c>
      <c r="F64" s="23">
        <f>IF(Budget!$C$7="No",0.581,0.578)</f>
        <v>0.57799999999999996</v>
      </c>
      <c r="G64" s="23">
        <f>IF(Budget!$C$7="No",0.573,0.57)</f>
        <v>0.56999999999999995</v>
      </c>
      <c r="H64" s="19">
        <f>IF(Budget!$C$7="No",0.5998,0.593)</f>
        <v>0.59299999999999997</v>
      </c>
      <c r="I64" s="19">
        <f>IF(Budget!$C$7="No",0.5998,0.593)</f>
        <v>0.59299999999999997</v>
      </c>
      <c r="J64" s="19">
        <f>IF(Budget!$C$7="No",0.5925,0.586)</f>
        <v>0.58599999999999997</v>
      </c>
      <c r="K64" s="19">
        <f>IF(Budget!$C$7="No",0.6345,0.628)</f>
        <v>0.628</v>
      </c>
      <c r="L64" s="23">
        <f t="shared" ref="L64:R64" si="29">K64</f>
        <v>0.628</v>
      </c>
      <c r="M64" s="23">
        <f t="shared" si="29"/>
        <v>0.628</v>
      </c>
      <c r="N64" s="23">
        <f t="shared" si="29"/>
        <v>0.628</v>
      </c>
      <c r="O64" s="23">
        <f t="shared" si="29"/>
        <v>0.628</v>
      </c>
      <c r="P64" s="23">
        <f t="shared" si="29"/>
        <v>0.628</v>
      </c>
      <c r="Q64" s="23">
        <f t="shared" si="29"/>
        <v>0.628</v>
      </c>
      <c r="R64" s="595">
        <f t="shared" si="29"/>
        <v>0.628</v>
      </c>
      <c r="S64" s="595">
        <f t="shared" si="19"/>
        <v>0.628</v>
      </c>
      <c r="T64" s="595">
        <f t="shared" si="20"/>
        <v>0.628</v>
      </c>
      <c r="U64" s="69"/>
      <c r="V64" s="20">
        <f t="shared" si="21"/>
        <v>0.628</v>
      </c>
      <c r="W64" s="20">
        <f t="shared" si="22"/>
        <v>0.628</v>
      </c>
      <c r="X64" s="20">
        <f t="shared" si="23"/>
        <v>0.628</v>
      </c>
      <c r="Y64" s="20">
        <f t="shared" si="24"/>
        <v>0.628</v>
      </c>
      <c r="Z64" s="20">
        <f t="shared" si="25"/>
        <v>0.628</v>
      </c>
      <c r="AA64" s="20">
        <f t="shared" si="26"/>
        <v>0.628</v>
      </c>
      <c r="AB64" s="20">
        <f t="shared" si="28"/>
        <v>0.628</v>
      </c>
      <c r="AC64" s="19">
        <f>IF(Budget!$L$6=0,,(((W64*$C$6)+(X64*$C$7))/$C$5))</f>
        <v>0.628</v>
      </c>
      <c r="AD64" s="19">
        <f>IF(Budget!$M$6=0,,(((X64*$D$6)+(Y64*$D$7))/$D$5))</f>
        <v>0.628</v>
      </c>
      <c r="AE64" s="19">
        <f>IF(Budget!$N$6=0,,(((Y64*$E$6)+(Z64*$E$7))/$E$5))</f>
        <v>0.628</v>
      </c>
      <c r="AF64" s="19">
        <f>IF(Budget!$O$6=0,,(((Z64*$F$6)+(AA64*$F$7))/$F$5))</f>
        <v>0.628</v>
      </c>
      <c r="AG64" s="74"/>
      <c r="AH64" s="74"/>
      <c r="AI64" s="74"/>
      <c r="AJ64" s="74"/>
      <c r="AK64" s="74"/>
      <c r="AL64" s="74"/>
      <c r="AM64" s="74"/>
      <c r="AN64" s="75"/>
      <c r="AO64" s="64"/>
      <c r="AP64" s="64"/>
      <c r="AQ64" s="64"/>
      <c r="AR64" s="64"/>
      <c r="AS64" s="64"/>
      <c r="AT64" s="64"/>
      <c r="AU64" s="64"/>
      <c r="AZ64" s="65"/>
      <c r="BA64" s="66"/>
      <c r="BE64" s="67"/>
      <c r="BF64" s="68"/>
      <c r="BG64" s="66"/>
      <c r="BH64" s="67"/>
      <c r="BI64" s="66"/>
      <c r="BM64" s="67"/>
      <c r="BN64" s="66"/>
      <c r="BR64" s="67"/>
      <c r="BS64" s="69"/>
      <c r="BT64" s="69"/>
      <c r="BU64" s="69"/>
      <c r="BV64" s="69"/>
      <c r="BW64" s="69"/>
    </row>
    <row r="65" spans="1:77" ht="12.75" customHeight="1" x14ac:dyDescent="0.2">
      <c r="A65" s="82" t="s">
        <v>45</v>
      </c>
      <c r="B65" s="23">
        <v>0.17299999999999999</v>
      </c>
      <c r="C65" s="23">
        <v>0.28199999999999997</v>
      </c>
      <c r="D65" s="23">
        <v>0.29699999999999999</v>
      </c>
      <c r="E65" s="23">
        <v>0.14899999999999999</v>
      </c>
      <c r="F65" s="23">
        <v>7.3999999999999996E-2</v>
      </c>
      <c r="G65" s="23">
        <v>0.186</v>
      </c>
      <c r="H65" s="23">
        <v>8.4000000000000005E-2</v>
      </c>
      <c r="I65" s="23">
        <v>0.2</v>
      </c>
      <c r="J65" s="23">
        <v>0.2</v>
      </c>
      <c r="K65" s="23">
        <v>0.25</v>
      </c>
      <c r="L65" s="23">
        <f t="shared" ref="L65:R65" si="30">K65</f>
        <v>0.25</v>
      </c>
      <c r="M65" s="23">
        <f t="shared" si="30"/>
        <v>0.25</v>
      </c>
      <c r="N65" s="23">
        <f t="shared" si="30"/>
        <v>0.25</v>
      </c>
      <c r="O65" s="23">
        <f t="shared" si="30"/>
        <v>0.25</v>
      </c>
      <c r="P65" s="23">
        <f t="shared" si="30"/>
        <v>0.25</v>
      </c>
      <c r="Q65" s="23">
        <f t="shared" si="30"/>
        <v>0.25</v>
      </c>
      <c r="R65" s="595">
        <f t="shared" si="30"/>
        <v>0.25</v>
      </c>
      <c r="S65" s="595">
        <f t="shared" si="19"/>
        <v>0.25</v>
      </c>
      <c r="T65" s="595">
        <f t="shared" si="20"/>
        <v>0.25</v>
      </c>
      <c r="U65" s="69"/>
      <c r="V65" s="20">
        <f t="shared" si="21"/>
        <v>0.25</v>
      </c>
      <c r="W65" s="20">
        <f t="shared" si="22"/>
        <v>0.25</v>
      </c>
      <c r="X65" s="20">
        <f t="shared" si="23"/>
        <v>0.25</v>
      </c>
      <c r="Y65" s="20">
        <f t="shared" si="24"/>
        <v>0.25</v>
      </c>
      <c r="Z65" s="20">
        <f t="shared" si="25"/>
        <v>0.25</v>
      </c>
      <c r="AA65" s="20">
        <f t="shared" si="26"/>
        <v>0.25</v>
      </c>
      <c r="AB65" s="20">
        <f t="shared" si="28"/>
        <v>0.25</v>
      </c>
      <c r="AC65" s="19">
        <f>IF(Budget!$L$6=0,,(((W65*$C$6)+(X65*$C$7))/$C$5))</f>
        <v>0.25</v>
      </c>
      <c r="AD65" s="19">
        <f>IF(Budget!$M$6=0,,(((X65*$D$6)+(Y65*$D$7))/$D$5))</f>
        <v>0.25</v>
      </c>
      <c r="AE65" s="19">
        <f>IF(Budget!$N$6=0,,(((Y65*$E$6)+(Z65*$E$7))/$E$5))</f>
        <v>0.25</v>
      </c>
      <c r="AF65" s="19">
        <f>IF(Budget!$O$6=0,,(((Z65*$F$6)+(AA65*$F$7))/$F$5))</f>
        <v>0.25</v>
      </c>
      <c r="AG65" s="74"/>
      <c r="AH65" s="74"/>
      <c r="AI65" s="74"/>
      <c r="AJ65" s="74"/>
      <c r="AK65" s="74"/>
      <c r="AL65" s="74"/>
      <c r="AM65" s="74"/>
      <c r="AN65" s="75"/>
      <c r="AO65" s="64"/>
      <c r="AP65" s="64"/>
      <c r="AQ65" s="64"/>
      <c r="AR65" s="64"/>
      <c r="AS65" s="64"/>
      <c r="AT65" s="64"/>
      <c r="AU65" s="64"/>
      <c r="AZ65" s="65"/>
      <c r="BA65" s="66"/>
      <c r="BE65" s="67"/>
      <c r="BF65" s="68"/>
      <c r="BG65" s="66"/>
      <c r="BH65" s="67"/>
      <c r="BI65" s="66"/>
      <c r="BM65" s="67"/>
      <c r="BN65" s="66"/>
      <c r="BR65" s="67"/>
      <c r="BS65" s="69"/>
      <c r="BT65" s="69"/>
      <c r="BU65" s="69"/>
      <c r="BV65" s="69"/>
      <c r="BW65" s="69"/>
    </row>
    <row r="66" spans="1:77" ht="12.75" customHeight="1" x14ac:dyDescent="0.2">
      <c r="A66" s="82" t="s">
        <v>47</v>
      </c>
      <c r="B66" s="23">
        <v>1.4999999999999999E-2</v>
      </c>
      <c r="C66" s="23">
        <v>2.1000000000000001E-2</v>
      </c>
      <c r="D66" s="23">
        <v>2.1000000000000001E-2</v>
      </c>
      <c r="E66" s="23">
        <v>1.6E-2</v>
      </c>
      <c r="F66" s="23">
        <v>2.3E-2</v>
      </c>
      <c r="G66" s="23">
        <v>2.7E-2</v>
      </c>
      <c r="H66" s="23">
        <v>1.6E-2</v>
      </c>
      <c r="I66" s="23">
        <v>1.9E-2</v>
      </c>
      <c r="J66" s="23">
        <v>1.9E-2</v>
      </c>
      <c r="K66" s="23">
        <v>2.1999999999999999E-2</v>
      </c>
      <c r="L66" s="23">
        <f t="shared" ref="L66:R66" si="31">K66</f>
        <v>2.1999999999999999E-2</v>
      </c>
      <c r="M66" s="23">
        <f t="shared" si="31"/>
        <v>2.1999999999999999E-2</v>
      </c>
      <c r="N66" s="23">
        <f t="shared" si="31"/>
        <v>2.1999999999999999E-2</v>
      </c>
      <c r="O66" s="23">
        <f t="shared" si="31"/>
        <v>2.1999999999999999E-2</v>
      </c>
      <c r="P66" s="23">
        <f t="shared" si="31"/>
        <v>2.1999999999999999E-2</v>
      </c>
      <c r="Q66" s="23">
        <f t="shared" si="31"/>
        <v>2.1999999999999999E-2</v>
      </c>
      <c r="R66" s="595">
        <f t="shared" si="31"/>
        <v>2.1999999999999999E-2</v>
      </c>
      <c r="S66" s="595">
        <f t="shared" si="19"/>
        <v>2.1999999999999999E-2</v>
      </c>
      <c r="T66" s="595">
        <f t="shared" si="20"/>
        <v>2.1999999999999999E-2</v>
      </c>
      <c r="U66" s="69"/>
      <c r="V66" s="20">
        <f t="shared" si="21"/>
        <v>2.1999999999999999E-2</v>
      </c>
      <c r="W66" s="20">
        <f t="shared" si="22"/>
        <v>2.1999999999999999E-2</v>
      </c>
      <c r="X66" s="20">
        <f t="shared" si="23"/>
        <v>2.1999999999999999E-2</v>
      </c>
      <c r="Y66" s="20">
        <f t="shared" si="24"/>
        <v>2.1999999999999999E-2</v>
      </c>
      <c r="Z66" s="20">
        <f t="shared" si="25"/>
        <v>2.1999999999999999E-2</v>
      </c>
      <c r="AA66" s="20">
        <f t="shared" si="26"/>
        <v>2.1999999999999999E-2</v>
      </c>
      <c r="AB66" s="20">
        <f t="shared" si="28"/>
        <v>2.2000000000000002E-2</v>
      </c>
      <c r="AC66" s="19">
        <f>IF(Budget!$L$6=0,,(((W66*$C$6)+(X66*$C$7))/$C$5))</f>
        <v>2.2000000000000002E-2</v>
      </c>
      <c r="AD66" s="19">
        <f>IF(Budget!$M$6=0,,(((X66*$D$6)+(Y66*$D$7))/$D$5))</f>
        <v>2.2000000000000002E-2</v>
      </c>
      <c r="AE66" s="19">
        <f>IF(Budget!$N$6=0,,(((Y66*$E$6)+(Z66*$E$7))/$E$5))</f>
        <v>2.2000000000000002E-2</v>
      </c>
      <c r="AF66" s="19">
        <f>IF(Budget!$O$6=0,,(((Z66*$F$6)+(AA66*$F$7))/$F$5))</f>
        <v>2.2000000000000002E-2</v>
      </c>
      <c r="AG66" s="74"/>
      <c r="AH66" s="74"/>
      <c r="AI66" s="74"/>
      <c r="AJ66" s="74"/>
      <c r="AK66" s="74"/>
      <c r="AL66" s="74"/>
      <c r="AM66" s="74"/>
      <c r="AN66" s="75"/>
      <c r="AO66" s="64"/>
      <c r="AP66" s="64"/>
      <c r="AQ66" s="64"/>
      <c r="AR66" s="64"/>
      <c r="AS66" s="64"/>
      <c r="AT66" s="64"/>
      <c r="AU66" s="64"/>
      <c r="AZ66" s="65"/>
      <c r="BA66" s="66"/>
      <c r="BE66" s="67"/>
      <c r="BF66" s="68"/>
      <c r="BG66" s="66"/>
      <c r="BH66" s="67"/>
      <c r="BI66" s="66"/>
      <c r="BM66" s="67"/>
      <c r="BN66" s="66"/>
      <c r="BR66" s="67"/>
      <c r="BS66" s="69"/>
      <c r="BT66" s="69"/>
      <c r="BU66" s="69"/>
      <c r="BV66" s="69"/>
      <c r="BW66" s="69"/>
    </row>
    <row r="67" spans="1:77" ht="12.75" customHeight="1" thickBot="1" x14ac:dyDescent="0.25">
      <c r="A67" s="83" t="s">
        <v>49</v>
      </c>
      <c r="B67" s="84">
        <v>5.8999999999999997E-2</v>
      </c>
      <c r="C67" s="84">
        <v>6.3E-2</v>
      </c>
      <c r="D67" s="84">
        <v>6.4000000000000001E-2</v>
      </c>
      <c r="E67" s="84">
        <v>4.5999999999999999E-2</v>
      </c>
      <c r="F67" s="84">
        <v>4.3999999999999997E-2</v>
      </c>
      <c r="G67" s="84">
        <v>9.6000000000000002E-2</v>
      </c>
      <c r="H67" s="84">
        <v>8.1000000000000003E-2</v>
      </c>
      <c r="I67" s="84">
        <v>3.7999999999999999E-2</v>
      </c>
      <c r="J67" s="84">
        <v>5.2999999999999999E-2</v>
      </c>
      <c r="K67" s="84">
        <v>5.2999999999999999E-2</v>
      </c>
      <c r="L67" s="84">
        <f t="shared" ref="L67:R67" si="32">K67</f>
        <v>5.2999999999999999E-2</v>
      </c>
      <c r="M67" s="84">
        <f t="shared" si="32"/>
        <v>5.2999999999999999E-2</v>
      </c>
      <c r="N67" s="84">
        <f t="shared" si="32"/>
        <v>5.2999999999999999E-2</v>
      </c>
      <c r="O67" s="84">
        <f t="shared" si="32"/>
        <v>5.2999999999999999E-2</v>
      </c>
      <c r="P67" s="84">
        <f t="shared" si="32"/>
        <v>5.2999999999999999E-2</v>
      </c>
      <c r="Q67" s="84">
        <f t="shared" si="32"/>
        <v>5.2999999999999999E-2</v>
      </c>
      <c r="R67" s="85">
        <f t="shared" si="32"/>
        <v>5.2999999999999999E-2</v>
      </c>
      <c r="S67" s="85">
        <f t="shared" si="19"/>
        <v>5.2999999999999999E-2</v>
      </c>
      <c r="T67" s="85">
        <f t="shared" si="20"/>
        <v>5.2999999999999999E-2</v>
      </c>
      <c r="U67" s="69"/>
      <c r="V67" s="20">
        <f t="shared" si="21"/>
        <v>5.2999999999999999E-2</v>
      </c>
      <c r="W67" s="20">
        <f t="shared" si="22"/>
        <v>5.2999999999999999E-2</v>
      </c>
      <c r="X67" s="20">
        <f t="shared" si="23"/>
        <v>5.2999999999999999E-2</v>
      </c>
      <c r="Y67" s="20">
        <f t="shared" si="24"/>
        <v>5.2999999999999999E-2</v>
      </c>
      <c r="Z67" s="20">
        <f t="shared" si="25"/>
        <v>5.2999999999999999E-2</v>
      </c>
      <c r="AA67" s="20">
        <f t="shared" si="26"/>
        <v>5.2999999999999999E-2</v>
      </c>
      <c r="AB67" s="20">
        <f t="shared" si="28"/>
        <v>5.2999999999999999E-2</v>
      </c>
      <c r="AC67" s="19">
        <f>IF(Budget!$L$6=0,,(((W67*$C$6)+(X67*$C$7))/$C$5))</f>
        <v>5.2999999999999999E-2</v>
      </c>
      <c r="AD67" s="19">
        <f>IF(Budget!$M$6=0,,(((X67*$D$6)+(Y67*$D$7))/$D$5))</f>
        <v>5.2999999999999999E-2</v>
      </c>
      <c r="AE67" s="19">
        <f>IF(Budget!$N$6=0,,(((Y67*$E$6)+(Z67*$E$7))/$E$5))</f>
        <v>5.2999999999999999E-2</v>
      </c>
      <c r="AF67" s="19">
        <f>IF(Budget!$O$6=0,,(((Z67*$F$6)+(AA67*$F$7))/$F$5))</f>
        <v>5.2999999999999999E-2</v>
      </c>
      <c r="AG67" s="74"/>
      <c r="AH67" s="74"/>
      <c r="AI67" s="74"/>
      <c r="AJ67" s="74"/>
      <c r="AK67" s="74"/>
      <c r="AL67" s="74"/>
      <c r="AM67" s="74"/>
      <c r="AN67" s="75"/>
      <c r="AO67" s="64"/>
      <c r="AP67" s="64"/>
      <c r="AQ67" s="64"/>
      <c r="AR67" s="64"/>
      <c r="AS67" s="64"/>
      <c r="AT67" s="64"/>
      <c r="AU67" s="64"/>
      <c r="AZ67" s="65"/>
      <c r="BA67" s="66"/>
      <c r="BE67" s="67"/>
      <c r="BF67" s="68"/>
      <c r="BG67" s="66"/>
      <c r="BH67" s="67"/>
      <c r="BI67" s="66"/>
      <c r="BM67" s="67"/>
      <c r="BN67" s="66"/>
      <c r="BR67" s="67"/>
      <c r="BS67" s="69"/>
      <c r="BT67" s="69"/>
      <c r="BU67" s="69"/>
      <c r="BV67" s="69"/>
      <c r="BW67" s="69"/>
    </row>
    <row r="68" spans="1:77" ht="12.75" customHeight="1" x14ac:dyDescent="0.2">
      <c r="B68" s="76"/>
      <c r="C68" s="77"/>
      <c r="D68" s="69"/>
      <c r="E68" s="69"/>
      <c r="U68" s="69"/>
      <c r="V68" s="69"/>
      <c r="W68" s="69"/>
      <c r="X68" s="69"/>
      <c r="Y68" s="69"/>
      <c r="Z68" s="69"/>
      <c r="AA68" s="69"/>
      <c r="AB68" s="69"/>
      <c r="AC68" s="74"/>
      <c r="AD68" s="74"/>
      <c r="AE68" s="74"/>
      <c r="AF68" s="74"/>
      <c r="AG68" s="74"/>
      <c r="AH68" s="74"/>
      <c r="AI68" s="74"/>
      <c r="AJ68" s="74"/>
      <c r="AK68" s="74"/>
      <c r="AL68" s="74"/>
      <c r="AM68" s="74"/>
      <c r="AN68" s="74"/>
      <c r="AO68" s="74"/>
      <c r="AP68" s="75"/>
      <c r="AQ68" s="64"/>
      <c r="AR68" s="64"/>
      <c r="AS68" s="64"/>
      <c r="AT68" s="64"/>
      <c r="AU68" s="64"/>
      <c r="AV68" s="64"/>
      <c r="AW68" s="64"/>
      <c r="BB68" s="65"/>
      <c r="BC68" s="66"/>
      <c r="BG68" s="67"/>
      <c r="BH68" s="68"/>
      <c r="BI68" s="66"/>
      <c r="BJ68" s="67"/>
      <c r="BK68" s="66"/>
      <c r="BO68" s="67"/>
      <c r="BP68" s="66"/>
      <c r="BT68" s="67"/>
      <c r="BU68" s="69"/>
      <c r="BV68" s="69"/>
      <c r="BW68" s="69"/>
      <c r="BX68" s="69"/>
      <c r="BY68" s="69"/>
    </row>
    <row r="69" spans="1:77" ht="12.75" customHeight="1" x14ac:dyDescent="0.2">
      <c r="A69" s="92" t="s">
        <v>165</v>
      </c>
      <c r="B69" s="76"/>
      <c r="C69" s="77"/>
      <c r="D69" s="69"/>
      <c r="E69" s="69"/>
      <c r="U69" s="69"/>
      <c r="V69" s="875" t="s">
        <v>163</v>
      </c>
      <c r="W69" s="876"/>
      <c r="X69" s="876"/>
      <c r="Y69" s="876"/>
      <c r="Z69" s="876"/>
      <c r="AA69" s="877"/>
      <c r="AC69" s="106"/>
      <c r="AD69" s="74"/>
      <c r="AE69" s="74"/>
      <c r="AF69" s="74"/>
      <c r="AG69" s="74"/>
      <c r="AH69" s="74"/>
      <c r="AI69" s="74"/>
      <c r="AJ69" s="74"/>
      <c r="AK69" s="74"/>
      <c r="AL69" s="74"/>
      <c r="AM69" s="74"/>
      <c r="AN69" s="74"/>
      <c r="AO69" s="74"/>
      <c r="AP69" s="75"/>
      <c r="AQ69" s="64"/>
      <c r="AR69" s="64"/>
      <c r="AS69" s="64"/>
      <c r="AT69" s="64"/>
      <c r="AU69" s="64"/>
      <c r="AV69" s="64"/>
      <c r="AW69" s="64"/>
      <c r="BB69" s="65"/>
      <c r="BC69" s="66"/>
      <c r="BG69" s="67"/>
      <c r="BH69" s="68"/>
      <c r="BI69" s="66"/>
      <c r="BJ69" s="67"/>
      <c r="BK69" s="66"/>
      <c r="BO69" s="67"/>
      <c r="BP69" s="66"/>
      <c r="BT69" s="67"/>
      <c r="BU69" s="69"/>
      <c r="BV69" s="69"/>
      <c r="BW69" s="69"/>
      <c r="BX69" s="69"/>
      <c r="BY69" s="69"/>
    </row>
    <row r="70" spans="1:77" ht="12.75" customHeight="1" x14ac:dyDescent="0.2">
      <c r="B70" s="23" t="s">
        <v>127</v>
      </c>
      <c r="C70" s="23" t="s">
        <v>128</v>
      </c>
      <c r="D70" s="23" t="s">
        <v>129</v>
      </c>
      <c r="E70" s="23" t="s">
        <v>130</v>
      </c>
      <c r="F70" s="23" t="s">
        <v>131</v>
      </c>
      <c r="G70" s="23" t="s">
        <v>132</v>
      </c>
      <c r="H70" s="23" t="s">
        <v>133</v>
      </c>
      <c r="I70" s="23" t="s">
        <v>134</v>
      </c>
      <c r="J70" s="23" t="s">
        <v>135</v>
      </c>
      <c r="K70" s="23" t="s">
        <v>136</v>
      </c>
      <c r="L70" s="23" t="s">
        <v>137</v>
      </c>
      <c r="M70" s="23" t="s">
        <v>138</v>
      </c>
      <c r="N70" s="23" t="s">
        <v>139</v>
      </c>
      <c r="O70" s="23" t="s">
        <v>140</v>
      </c>
      <c r="P70" s="23" t="s">
        <v>141</v>
      </c>
      <c r="Q70" s="23" t="s">
        <v>142</v>
      </c>
      <c r="R70" s="23" t="s">
        <v>334</v>
      </c>
      <c r="S70" s="23" t="s">
        <v>335</v>
      </c>
      <c r="T70" s="23" t="s">
        <v>336</v>
      </c>
      <c r="U70" s="63"/>
      <c r="V70" s="23" t="s">
        <v>154</v>
      </c>
      <c r="W70" s="86" t="s">
        <v>155</v>
      </c>
      <c r="X70" s="87" t="s">
        <v>156</v>
      </c>
      <c r="Y70" s="23" t="s">
        <v>157</v>
      </c>
      <c r="Z70" s="23" t="s">
        <v>158</v>
      </c>
      <c r="AA70" s="23" t="s">
        <v>159</v>
      </c>
      <c r="AC70" s="28"/>
      <c r="AD70" s="71"/>
      <c r="AE70" s="72"/>
      <c r="AF70" s="28"/>
      <c r="AG70" s="28"/>
      <c r="AH70" s="28"/>
      <c r="AI70" s="74"/>
      <c r="AJ70" s="74"/>
      <c r="AK70" s="74"/>
      <c r="AL70" s="74"/>
      <c r="AM70" s="74"/>
      <c r="AN70" s="74"/>
      <c r="AO70" s="74"/>
      <c r="AP70" s="75"/>
      <c r="AQ70" s="64"/>
      <c r="AR70" s="64"/>
      <c r="AS70" s="64"/>
      <c r="AT70" s="64"/>
      <c r="AU70" s="64"/>
      <c r="AV70" s="64"/>
      <c r="AW70" s="64"/>
      <c r="BB70" s="65"/>
      <c r="BC70" s="66"/>
      <c r="BG70" s="67"/>
      <c r="BH70" s="68"/>
      <c r="BI70" s="66"/>
      <c r="BJ70" s="67"/>
      <c r="BK70" s="66"/>
      <c r="BO70" s="67"/>
      <c r="BP70" s="66"/>
      <c r="BT70" s="67"/>
      <c r="BU70" s="69"/>
      <c r="BV70" s="69"/>
      <c r="BW70" s="69"/>
      <c r="BX70" s="69"/>
      <c r="BY70" s="69"/>
    </row>
    <row r="71" spans="1:77" ht="12.75" customHeight="1" x14ac:dyDescent="0.2">
      <c r="A71" s="28"/>
      <c r="B71" s="23">
        <v>0.9</v>
      </c>
      <c r="C71" s="23">
        <v>0.9</v>
      </c>
      <c r="D71" s="86">
        <v>1.25</v>
      </c>
      <c r="E71" s="86">
        <v>1.66</v>
      </c>
      <c r="F71" s="86">
        <v>1.77</v>
      </c>
      <c r="G71" s="86">
        <v>1.87</v>
      </c>
      <c r="H71" s="86">
        <v>1.95</v>
      </c>
      <c r="I71" s="86">
        <v>1.95</v>
      </c>
      <c r="J71" s="86">
        <v>1.95</v>
      </c>
      <c r="K71" s="86">
        <f t="shared" ref="K71:M71" si="33">J71*1.03</f>
        <v>2.0085000000000002</v>
      </c>
      <c r="L71" s="86">
        <f>K71*1.03</f>
        <v>2.0687550000000003</v>
      </c>
      <c r="M71" s="86">
        <f t="shared" si="33"/>
        <v>2.1308176500000005</v>
      </c>
      <c r="N71" s="86">
        <f>M71*1.03</f>
        <v>2.1947421795000004</v>
      </c>
      <c r="O71" s="86">
        <f>N71*1.03</f>
        <v>2.2605844448850005</v>
      </c>
      <c r="P71" s="86">
        <f t="shared" ref="P71:R71" si="34">O71*1.03</f>
        <v>2.3284019782315508</v>
      </c>
      <c r="Q71" s="86">
        <f t="shared" si="34"/>
        <v>2.3982540375784973</v>
      </c>
      <c r="R71" s="86">
        <f t="shared" si="34"/>
        <v>2.4702016587058524</v>
      </c>
      <c r="S71" s="86">
        <f t="shared" ref="S71" si="35">R71*1.03</f>
        <v>2.544307708467028</v>
      </c>
      <c r="T71" s="86">
        <f t="shared" ref="T71" si="36">S71*1.03</f>
        <v>2.6206369397210389</v>
      </c>
      <c r="U71" s="69"/>
      <c r="V71" s="19">
        <f>IF(B4=B70,B71, IF(B4=C70,C71,IF(B4=D70,D71,IF(B4=E70,E71,IF(B4=F70,F71,IF(B4=G70,G71,IF(B4=H70,H71,IF(B4=I70,I71,IF(B4=J70,J71,IF(B4=K70,K71,IF(B4=L70,L71,IF(B4=M70,M71,IF(B4=N70,N71,IF(B4=O70,O71,IF(B4=P70,P71,IF(B4=Q70,Q71,IF(B4=R70,R71,IF(B4=S70,S71,IF(B4=T70,T71,FALSE)))))))))))))))))))</f>
        <v>2.0085000000000002</v>
      </c>
      <c r="W71" s="19">
        <f>IF(C4=B70,B71,IF(C4=C70,C71,IF(C4=D70,D71,IF(C4=E70,E71,IF(C4=F70,F71,IF(C4=G70,G71,IF(C4=H70,H71,IF(C4=I70,I71,IF(C4=J70,J71,IF(C4=K70,K71,IF(C4=L70,L71,IF(C4=M70,M71,IF(C4=N70,N71,IF(C4=O70,O71,IF(C4=P70,P71,IF(C4=Q70,Q71,IF(C4=R70,R71,IF(C4=S70,S71,IF(C4=T70,T71,FALSE)))))))))))))))))))</f>
        <v>2.0687550000000003</v>
      </c>
      <c r="X71" s="19">
        <f>IF(D4=B70,B71, IF(D4=C70,C71,IF(D4=D70,D71,IF(D4=E70,E71,IF(D4=F70,F71,IF(D4=G70,G71,IF(D4=H70,H71,IF(D4=I70,I71,IF(D4=J70,J71,IF(D4=K70,K71,IF(D4=L70,L71,IF(D4=M70,M71,IF(D4=N70,N71,IF(D4=O70,O71,IF(D4=P70,P71,IF(D4=Q70,Q71,IF(D4=R70,R71,IF(D4=S70,S71,IF(D4=T70,T71,FALSE)))))))))))))))))))</f>
        <v>2.1308176500000005</v>
      </c>
      <c r="Y71" s="19">
        <f>IF(E4=B70,B71, IF(E4=C70,C71,IF(E4=D70,D71,IF(E4=E70,E71,IF(E4=F70,F71,IF(E4=G70,G71,IF(E4=H70,H71,IF(E4=I70,I71,IF(E4=J70,J71,IF(E4=K70,K71,IF(E4=L70,L71,IF(E4=M70,M71,IF(E4=N70,N71,IF(E4=O70,O71,IF(E4=P70,P71,IF(E4=Q70,Q71,IF(E4=R70,R71,IF(E4=S70,S71,IF(E4=T70,T71,FALSE)))))))))))))))))))</f>
        <v>2.1947421795000004</v>
      </c>
      <c r="Z71" s="19">
        <f>IF(F4=B70,B71, IF(F4=C70,C71,IF(F4=D70,D71,IF(F4=E70,E71,IF(F4=F70,F71,IF(F4=G70,G71,IF(F4=H70,H71,IF(F4=I70,I71,IF(F4=J70,J71,IF(F4=K70,K71,IF(F4=L70,L71,IF(F4=M70,M71,IF(F4=N70,N71,IF(F4=O70,O71,IF(F4=P70,P71,IF(F4=Q70,Q71,IF(F4=R70,R71,IF(F4=S70,S71,IF(F4=T70,T71,FALSE)))))))))))))))))))</f>
        <v>2.2605844448850005</v>
      </c>
      <c r="AA71" s="19">
        <f>IF(G4=B70,B71, IF(G4=C70,C71,IF(G4=D70,D71,IF(G4=E70,E71,IF(G4=F70,F71,IF(G4=G70,G71,IF(G4=H70,H71,IF(G4=I70,I71,IF(G4=J70,J71,IF(G4=K70,K71,IF(G4=L70,L71,IF(G4=M70,M71,IF(G4=N70,N71,IF(G4=O70,O71,IF(G4=P70,P71,IF(G4=Q70,Q71,IF(G4=R70,R71,IF(G4=S70,S71,IF(G4=T70,T71,FALSE)))))))))))))))))))</f>
        <v>2.3284019782315508</v>
      </c>
      <c r="AB71" s="73"/>
      <c r="AC71" s="17"/>
      <c r="AD71" s="17"/>
      <c r="AE71" s="17"/>
      <c r="AF71" s="17"/>
      <c r="AG71" s="17"/>
      <c r="AH71" s="17"/>
      <c r="AI71" s="74"/>
      <c r="AJ71" s="74"/>
      <c r="AK71" s="74"/>
      <c r="AL71" s="74"/>
      <c r="AM71" s="74"/>
      <c r="AN71" s="74"/>
      <c r="AO71" s="74"/>
      <c r="AP71" s="75"/>
      <c r="AQ71" s="64"/>
      <c r="AR71" s="64"/>
      <c r="AS71" s="64"/>
      <c r="AT71" s="64"/>
      <c r="AU71" s="64"/>
      <c r="AV71" s="64"/>
      <c r="AW71" s="64"/>
      <c r="BB71" s="65"/>
      <c r="BC71" s="66"/>
      <c r="BG71" s="67"/>
      <c r="BH71" s="68"/>
      <c r="BI71" s="66"/>
      <c r="BJ71" s="67"/>
      <c r="BK71" s="66"/>
      <c r="BO71" s="67"/>
      <c r="BP71" s="66"/>
      <c r="BT71" s="67"/>
      <c r="BU71" s="69"/>
      <c r="BV71" s="69"/>
      <c r="BW71" s="69"/>
      <c r="BX71" s="69"/>
      <c r="BY71" s="69"/>
    </row>
    <row r="72" spans="1:77" ht="12.75" customHeight="1" x14ac:dyDescent="0.2"/>
    <row r="73" spans="1:77" ht="12.75" customHeight="1" x14ac:dyDescent="0.2">
      <c r="A73" s="142" t="s">
        <v>98</v>
      </c>
      <c r="Y73" s="878" t="s">
        <v>163</v>
      </c>
      <c r="Z73" s="879"/>
      <c r="AA73" s="879"/>
      <c r="AB73" s="879"/>
      <c r="AC73" s="880"/>
      <c r="AE73" s="878" t="s">
        <v>164</v>
      </c>
      <c r="AF73" s="879"/>
      <c r="AG73" s="879"/>
      <c r="AH73" s="879"/>
      <c r="AI73" s="880"/>
      <c r="AN73" s="124"/>
      <c r="AO73" s="124"/>
      <c r="AP73" s="124"/>
      <c r="AQ73" s="124"/>
    </row>
    <row r="74" spans="1:77" ht="12.75" customHeight="1" x14ac:dyDescent="0.2">
      <c r="A74" s="18"/>
      <c r="B74" s="94" t="s">
        <v>166</v>
      </c>
      <c r="C74" s="94" t="s">
        <v>167</v>
      </c>
      <c r="D74" s="23" t="s">
        <v>168</v>
      </c>
      <c r="E74" s="23" t="s">
        <v>127</v>
      </c>
      <c r="F74" s="23" t="s">
        <v>128</v>
      </c>
      <c r="G74" s="23" t="s">
        <v>129</v>
      </c>
      <c r="H74" s="23" t="s">
        <v>130</v>
      </c>
      <c r="I74" s="23" t="s">
        <v>131</v>
      </c>
      <c r="J74" s="23" t="s">
        <v>132</v>
      </c>
      <c r="K74" s="23" t="s">
        <v>133</v>
      </c>
      <c r="L74" s="23" t="s">
        <v>134</v>
      </c>
      <c r="M74" s="23" t="s">
        <v>135</v>
      </c>
      <c r="N74" s="23" t="s">
        <v>136</v>
      </c>
      <c r="O74" s="23" t="s">
        <v>137</v>
      </c>
      <c r="P74" s="23" t="s">
        <v>138</v>
      </c>
      <c r="Q74" s="23" t="s">
        <v>139</v>
      </c>
      <c r="R74" s="23" t="s">
        <v>140</v>
      </c>
      <c r="S74" s="23" t="s">
        <v>141</v>
      </c>
      <c r="T74" s="23" t="s">
        <v>142</v>
      </c>
      <c r="U74" s="577" t="s">
        <v>334</v>
      </c>
      <c r="V74" s="23" t="s">
        <v>335</v>
      </c>
      <c r="W74" s="23" t="s">
        <v>336</v>
      </c>
      <c r="X74" s="28"/>
      <c r="Y74" s="23" t="s">
        <v>154</v>
      </c>
      <c r="Z74" s="86" t="s">
        <v>155</v>
      </c>
      <c r="AA74" s="87" t="s">
        <v>156</v>
      </c>
      <c r="AB74" s="23" t="s">
        <v>157</v>
      </c>
      <c r="AC74" s="23" t="s">
        <v>158</v>
      </c>
      <c r="AD74" s="28"/>
      <c r="AE74" s="23" t="s">
        <v>154</v>
      </c>
      <c r="AF74" s="86" t="s">
        <v>155</v>
      </c>
      <c r="AG74" s="87" t="s">
        <v>156</v>
      </c>
      <c r="AH74" s="23" t="s">
        <v>157</v>
      </c>
      <c r="AI74" s="23" t="s">
        <v>158</v>
      </c>
      <c r="AJ74" s="28"/>
      <c r="AN74" s="125"/>
      <c r="AO74" s="125"/>
      <c r="AP74" s="125"/>
      <c r="AQ74" s="125"/>
    </row>
    <row r="75" spans="1:77" ht="12.75" customHeight="1" x14ac:dyDescent="0.2">
      <c r="A75" s="136" t="s">
        <v>100</v>
      </c>
      <c r="B75" s="137">
        <v>0.26</v>
      </c>
      <c r="C75" s="137">
        <v>0.26</v>
      </c>
      <c r="D75" s="137">
        <v>0.26</v>
      </c>
      <c r="E75" s="137">
        <v>0.26</v>
      </c>
      <c r="F75" s="137">
        <v>0.26</v>
      </c>
      <c r="G75" s="137">
        <v>0.26</v>
      </c>
      <c r="H75" s="137">
        <v>0.26</v>
      </c>
      <c r="I75" s="137">
        <v>0.26</v>
      </c>
      <c r="J75" s="137">
        <v>0.26</v>
      </c>
      <c r="K75" s="137">
        <v>0.26</v>
      </c>
      <c r="L75" s="137">
        <v>0.26</v>
      </c>
      <c r="M75" s="137">
        <v>0.26</v>
      </c>
      <c r="N75" s="137">
        <v>0.26</v>
      </c>
      <c r="O75" s="137">
        <v>0.26</v>
      </c>
      <c r="P75" s="137">
        <v>0.26</v>
      </c>
      <c r="Q75" s="137">
        <v>0.26</v>
      </c>
      <c r="R75" s="137">
        <v>0.26</v>
      </c>
      <c r="S75" s="137">
        <v>0.26</v>
      </c>
      <c r="T75" s="137">
        <v>0.26</v>
      </c>
      <c r="U75" s="137">
        <v>0.26</v>
      </c>
      <c r="V75" s="137">
        <v>0.26</v>
      </c>
      <c r="W75" s="137">
        <v>0.26</v>
      </c>
      <c r="X75" s="118"/>
      <c r="Y75" s="19">
        <f>IF($B$4=$B$74,B75,IF($B$4=$C$74,C75,IF($B$4=$D$74,D75,IF($B$4=$E$74,E75,IF($B$4=$F$74,F75,IF($B$4=$G$74,G75,IF($B$4=$H$74,H75,IF($B$4=$I$74,I75,IF($B$4=$J$74,J75,IF($B$4=$K$74,K75,IF($B$4=$L$74,L75,IF($B$4=$M$74,M75,IF($B$4=$N$74,N75,IF($B$4=$O$74,O75,IF($B$4=$P$74,P75,IF($B$4=$Q$74,Q75,IF($B$4=$R$74,R75,IF($B$4=$S$74,S75,IF($B$4=$T$74,T75,IF($B$4=$U$74,U75,IF($B$4=$V$74,V75,IF($B$4=$W$74,W75,FALSE))))))))))))))))))))))</f>
        <v>0.26</v>
      </c>
      <c r="Z75" s="19">
        <f>IF($C$4=$B$74,B75,IF($C$4=$C$74,C75,IF($C$4=$D$74,D75,IF($C$4=$E$74,E75,IF($C$4=$F$74,F75,IF($C$4=$G$74,G75,IF($C$4=$H$74,H75,IF($C$4=$I$74,I75,IF($C$4=$J$74,J75,IF($C$4=$K$74,K75,IF($C$4=$L$74,L75,IF($C$4=$M$74,M75,IF($C$4=$N$74,N75,IF($C$4=$O$74,O75,IF($C$4=$P$74,P75,IF($C$4=$Q$74,Q75,IF($C$4=$R$74,R75,IF($C$4=$S$74,S75,IF($C$4=$T$74,T75,IF($C$4=$U$74,U75,IF($C$4=$V$74,V75,IF($C$4=$W$74,W75,FALSE))))))))))))))))))))))</f>
        <v>0.26</v>
      </c>
      <c r="AA75" s="19">
        <f>IF($D$4=$B$74,B75, IF($D$4=$C$74,C75,IF($D$4=$D$74,D75,IF($D$4=$E$74,E75,IF($D$4=$F$74,F75,IF($D$4=$G$74,G75,IF($D$4=$H$74,H75,IF($D$4=$I$74,I75,IF($D$4=$J$74,J75,IF($D$4=$K$74,K75,IF($D$4=$L$74,L75,IF($D$4=$M$74,M75,IF($D$4=$N$74,N75,IF($D$4=$O$74,O75,IF($D$4=$P$74,P75,IF($D$4=$Q$74,Q75,IF($D$4=$R$74,R75,IF($D$4=$S$74,S75,IF($D$4=$T$74,T75,IF($D$4=$U$74,U75,IF($D$4=$V$74,V75,IF($D$4=$W$74,W75,FALSE))))))))))))))))))))))</f>
        <v>0.26</v>
      </c>
      <c r="AB75" s="19">
        <f>IF($E$4=$B$74,B75,IF($E$4=$C$74,C75,IF($E$4=$D$74,D75,IF($E$4=$E$74,E75,IF($E$4=$F$74,F75,IF($E$4=$G$74,G75,IF($E$4=$H$74,H75,IF($E$4=$I$74,I75,IF($E$4=$J$74,J75,IF($E$4=$K$74,K75,IF($E$4=$L$74,L75,IF($E$4=$M$74,M75,IF($E$4=$N$74,N75,IF($E$4=$O$74,O75,IF($E$4=$P$74,P75,IF($E$4=$Q$74,Q75,IF($E$4=$R$74,R75,IF($E$4=$S$74,S75,IF($E$4=$T$74,T75,IF($E$4=$U$74,U75,IF($E$4=$V$74,V75,IF($E$4=$W$74,W75,FALSE))))))))))))))))))))))</f>
        <v>0.26</v>
      </c>
      <c r="AC75" s="19">
        <f>IF($F$4=$B$74,B75, IF($F$4=$C$74,C75,IF($F$4=$D$74,D75,IF($F$4=$E$74,E75,IF($F$4=$F$74,F75,IF($F$4=$G$74,G75,IF($F$4=$H$74,H75,IF($F$4=$I$74,I75,IF($F$4=$J$74,J75,IF($F$4=$K$74,K75,IF($F$4=$L$74,L75,IF($F$4=$M$74,M75,IF($F$4=$N$74,N75,IF($F$4=$O$74,O75,IF($F$4=$P$74,P75,IF($F$4=$Q$74,Q75,IF($F$4=$R$74,R75,IF($F$4=$S$74,S75,IF($F$4=$T$74,T75,IF($F$4=$U$74,U75,IF($F$4=$V$74,V75,IF($F$4=$W$74,W75,FALSE))))))))))))))))))))))</f>
        <v>0.26</v>
      </c>
      <c r="AD75" s="17"/>
      <c r="AE75" s="19">
        <f>((Y75*$B$6)+(Z75*$B$7))/$B$5</f>
        <v>0.26</v>
      </c>
      <c r="AF75" s="19">
        <f>IF(Budget!$L$6=0,Z75,(((Z75*$C$6)+(AA75*$C$7))/$C$5))</f>
        <v>0.26</v>
      </c>
      <c r="AG75" s="19">
        <f>IF(Budget!$M$6=0,AA75,(((AA75*$D$6)+(AB75*$D$7))/$D$5))</f>
        <v>0.26</v>
      </c>
      <c r="AH75" s="19">
        <f>IF(Budget!$N$6=0,AB75,(((AB75*$E$6)+(AC75*$E$7))/$E$5))</f>
        <v>0.26</v>
      </c>
      <c r="AI75" s="19">
        <f>IF(Budget!$O$6=AC75,,AC75)</f>
        <v>0.26</v>
      </c>
      <c r="AJ75" s="17"/>
    </row>
    <row r="76" spans="1:77" ht="12.75" customHeight="1" x14ac:dyDescent="0.2">
      <c r="A76" s="136" t="s">
        <v>103</v>
      </c>
      <c r="B76" s="18">
        <v>0.245</v>
      </c>
      <c r="C76" s="18">
        <v>0.245</v>
      </c>
      <c r="D76" s="18">
        <v>0.25</v>
      </c>
      <c r="E76" s="18">
        <v>0.25</v>
      </c>
      <c r="F76" s="18">
        <v>0.25</v>
      </c>
      <c r="G76" s="18">
        <v>0.25</v>
      </c>
      <c r="H76" s="18">
        <v>0.25</v>
      </c>
      <c r="I76" s="18">
        <v>0.25</v>
      </c>
      <c r="J76" s="18">
        <v>0.26</v>
      </c>
      <c r="K76" s="18">
        <v>0.26</v>
      </c>
      <c r="L76" s="18">
        <v>0.26</v>
      </c>
      <c r="M76" s="18">
        <v>0.26</v>
      </c>
      <c r="N76" s="18">
        <v>0.26</v>
      </c>
      <c r="O76" s="18">
        <v>0.26</v>
      </c>
      <c r="P76" s="18">
        <v>0.26</v>
      </c>
      <c r="Q76" s="18">
        <v>0.26</v>
      </c>
      <c r="R76" s="18">
        <v>0.26</v>
      </c>
      <c r="S76" s="18">
        <v>0.26</v>
      </c>
      <c r="T76" s="18">
        <v>0.26</v>
      </c>
      <c r="U76" s="18">
        <v>0.26</v>
      </c>
      <c r="V76" s="18">
        <v>0.26</v>
      </c>
      <c r="W76" s="18">
        <v>0.26</v>
      </c>
      <c r="Y76" s="19">
        <f t="shared" ref="Y76:Y79" si="37">IF($B$4=$B$74,B76,IF($B$4=$C$74,C76,IF($B$4=$D$74,D76,IF($B$4=$E$74,E76,IF($B$4=$F$74,F76,IF($B$4=$G$74,G76,IF($B$4=$H$74,H76,IF($B$4=$I$74,I76,IF($B$4=$J$74,J76,IF($B$4=$K$74,K76,IF($B$4=$L$74,L76,IF($B$4=$M$74,M76,IF($B$4=$N$74,N76,IF($B$4=$O$74,O76,IF($B$4=$P$74,P76,IF($B$4=$Q$74,Q76,IF($B$4=$R$74,R76,IF($B$4=$S$74,S76,IF($B$4=$T$74,T76,IF($B$4=$U$74,U76,IF($B$4=$V$74,V76,IF($B$4=$W$74,W76,FALSE))))))))))))))))))))))</f>
        <v>0.26</v>
      </c>
      <c r="Z76" s="19">
        <f>IF($C$4=$B$74,B76,IF($C$4=$C$74,C76,IF($C$4=$D$74,D76,IF($C$4=$E$74,E76,IF($C$4=$F$74,F76,IF($C$4=$G$74,G76,IF($C$4=$H$74,H76,IF($C$4=$I$74,I76,IF($C$4=$J$74,J76,IF($C$4=$K$74,K76,IF($C$4=$L$74,L76,IF($C$4=$M$74,M76,IF($C$4=$N$74,N76,IF($C$4=$O$74,O76,IF($C$4=$P$74,P76,IF($C$4=$Q$74,Q76,IF($C$4=$R$74,R76,IF($C$4=$S$74,S76,IF($C$4=$T$74,T76,IF($C$4=$U$74,U76,IF($C$4=$V$74,V76,IF($C$4=$W$74,W76,FALSE))))))))))))))))))))))</f>
        <v>0.26</v>
      </c>
      <c r="AA76" s="19">
        <f t="shared" ref="AA76:AA80" si="38">IF($D$4=$B$74,B76, IF($D$4=$C$74,C76,IF($D$4=$D$74,D76,IF($D$4=$E$74,E76,IF($D$4=$F$74,F76,IF($D$4=$G$74,G76,IF($D$4=$H$74,H76,IF($D$4=$I$74,I76,IF($D$4=$J$74,J76,IF($D$4=$K$74,K76,IF($D$4=$L$74,L76,IF($D$4=$M$74,M76,IF($D$4=$N$74,N76,IF($D$4=$O$74,O76,IF($D$4=$P$74,P76,IF($D$4=$Q$74,Q76,IF($D$4=$R$74,R76,IF($D$4=$S$74,S76,IF($D$4=$T$74,T76,IF($D$4=$U$74,U76,IF($D$4=$V$74,V76,IF($D$4=$W$74,W76,FALSE))))))))))))))))))))))</f>
        <v>0.26</v>
      </c>
      <c r="AB76" s="19">
        <f t="shared" ref="AB76:AB80" si="39">IF($E$4=$B$74,B76,IF($E$4=$C$74,C76,IF($E$4=$D$74,D76,IF($E$4=$E$74,E76,IF($E$4=$F$74,F76,IF($E$4=$G$74,G76,IF($E$4=$H$74,H76,IF($E$4=$I$74,I76,IF($E$4=$J$74,J76,IF($E$4=$K$74,K76,IF($E$4=$L$74,L76,IF($E$4=$M$74,M76,IF($E$4=$N$74,N76,IF($E$4=$O$74,O76,IF($E$4=$P$74,P76,IF($E$4=$Q$74,Q76,IF($E$4=$R$74,R76,IF($E$4=$S$74,S76,IF($E$4=$T$74,T76,IF($E$4=$U$74,U76,IF($E$4=$V$74,V76,IF($E$4=$W$74,W76,FALSE))))))))))))))))))))))</f>
        <v>0.26</v>
      </c>
      <c r="AC76" s="19">
        <f t="shared" ref="AC76:AC80" si="40">IF($F$4=$B$74,B76, IF($F$4=$C$74,C76,IF($F$4=$D$74,D76,IF($F$4=$E$74,E76,IF($F$4=$F$74,F76,IF($F$4=$G$74,G76,IF($F$4=$H$74,H76,IF($F$4=$I$74,I76,IF($F$4=$J$74,J76,IF($F$4=$K$74,K76,IF($F$4=$L$74,L76,IF($F$4=$M$74,M76,IF($F$4=$N$74,N76,IF($F$4=$O$74,O76,IF($F$4=$P$74,P76,IF($F$4=$Q$74,Q76,IF($F$4=$R$74,R76,IF($F$4=$S$74,S76,IF($F$4=$T$74,T76,IF($F$4=$U$74,U76,IF($F$4=$V$74,V76,IF($F$4=$W$74,W76,FALSE))))))))))))))))))))))</f>
        <v>0.26</v>
      </c>
      <c r="AD76" s="17"/>
      <c r="AE76" s="19">
        <f>((Y76*$B$6)+(Z76*$B$7))/$B$5</f>
        <v>0.26</v>
      </c>
      <c r="AF76" s="19">
        <f>IF(Budget!$L$6=0,Z76,(((Z76*$C$6)+(AA76*$C$7))/$C$5))</f>
        <v>0.26</v>
      </c>
      <c r="AG76" s="19">
        <f>IF(Budget!$M$6=0,AA76,(((AA76*$D$6)+(AB76*$D$7))/$D$5))</f>
        <v>0.26</v>
      </c>
      <c r="AH76" s="19">
        <f>IF(Budget!$N$6=0,AB76,(((AB76*$E$6)+(AC76*$E$7))/$E$5))</f>
        <v>0.26</v>
      </c>
      <c r="AI76" s="19">
        <f>IF(Budget!$O$6=AC76,,AC76)</f>
        <v>0.26</v>
      </c>
      <c r="AJ76" s="17"/>
    </row>
    <row r="77" spans="1:77" ht="12.75" customHeight="1" x14ac:dyDescent="0.2">
      <c r="A77" s="136" t="s">
        <v>169</v>
      </c>
      <c r="B77" s="18">
        <v>0.55500000000000005</v>
      </c>
      <c r="C77" s="18">
        <v>0.56499999999999995</v>
      </c>
      <c r="D77" s="18">
        <v>0.56999999999999995</v>
      </c>
      <c r="E77" s="516">
        <v>0.56999999999999995</v>
      </c>
      <c r="F77" s="516">
        <v>0.56999999999999995</v>
      </c>
      <c r="G77" s="516">
        <v>0.56999999999999995</v>
      </c>
      <c r="H77" s="517">
        <v>0.56999999999999995</v>
      </c>
      <c r="I77" s="516">
        <v>0.56999999999999995</v>
      </c>
      <c r="J77" s="516">
        <v>0.59499999999999997</v>
      </c>
      <c r="K77" s="516">
        <v>0.6</v>
      </c>
      <c r="L77" s="516">
        <v>0.61</v>
      </c>
      <c r="M77" s="516">
        <v>0.61</v>
      </c>
      <c r="N77" s="516">
        <v>0.61</v>
      </c>
      <c r="O77" s="516">
        <v>0.61</v>
      </c>
      <c r="P77" s="516">
        <v>0.61</v>
      </c>
      <c r="Q77" s="516">
        <v>0.61</v>
      </c>
      <c r="R77" s="516">
        <v>0.61</v>
      </c>
      <c r="S77" s="516">
        <v>0.61</v>
      </c>
      <c r="T77" s="516">
        <v>0.61</v>
      </c>
      <c r="U77" s="516">
        <v>0.61</v>
      </c>
      <c r="V77" s="516">
        <v>0.61</v>
      </c>
      <c r="W77" s="516">
        <v>0.61</v>
      </c>
      <c r="Y77" s="19">
        <f t="shared" si="37"/>
        <v>0.61</v>
      </c>
      <c r="Z77" s="19">
        <f>IF($C$4=$B$74,B77,IF($C$4=$C$74,C77,IF($C$4=$D$74,D77,IF($C$4=$E$74,E77,IF($C$4=$F$74,F77,IF($C$4=$G$74,G77,IF($C$4=$H$74,H77,IF($C$4=$I$74,I77,IF($C$4=$J$74,J77,IF($C$4=$K$74,K77,IF($C$4=$L$74,L77,IF($C$4=$M$74,M77,IF($C$4=$N$74,N77,IF($C$4=$O$74,O77,IF($C$4=$P$74,P77,IF($C$4=$Q$74,Q77,IF($C$4=$R$74,R77,IF($C$4=$S$74,S77,IF($C$4=$T$74,T77,IF($C$4=$U$74,U77,IF($C$4=$V$74,V77,IF($C$4=$W$74,W77,FALSE))))))))))))))))))))))</f>
        <v>0.61</v>
      </c>
      <c r="AA77" s="19">
        <f>IF($D$4=$B$74,B77, IF($D$4=$C$74,C77,IF($D$4=$D$74,D77,IF($D$4=$E$74,E77,IF($D$4=$F$74,F77,IF($D$4=$G$74,G77,IF($D$4=$H$74,H77,IF($D$4=$I$74,I77,IF($D$4=$J$74,J77,IF($D$4=$K$74,K77,IF($D$4=$L$74,L77,IF($D$4=$M$74,M77,IF($D$4=$N$74,N77,IF($D$4=$O$74,O77,IF($D$4=$P$74,P77,IF($D$4=$Q$74,Q77,IF($D$4=$R$74,R77,IF($D$4=$S$74,S77,IF($D$4=$T$74,T77,IF($D$4=$U$74,U77,IF($D$4=$V$74,V77,IF($D$4=$W$74,W77,FALSE))))))))))))))))))))))</f>
        <v>0.61</v>
      </c>
      <c r="AB77" s="19">
        <f t="shared" si="39"/>
        <v>0.61</v>
      </c>
      <c r="AC77" s="19">
        <f t="shared" si="40"/>
        <v>0.61</v>
      </c>
      <c r="AD77" s="17"/>
      <c r="AE77" s="19">
        <f t="shared" ref="AE77:AE79" si="41">((Y77*$B$6)+(Z77*$B$7))/$B$5</f>
        <v>0.61</v>
      </c>
      <c r="AF77" s="19">
        <f>IF(Budget!$L$6=0,Z77,(((Z77*$C$6)+(AA77*$C$7))/$C$5))</f>
        <v>0.61</v>
      </c>
      <c r="AG77" s="19">
        <f>IF(Budget!$M$6=0,AA77,(((AA77*$D$6)+(AB77*$D$7))/$D$5))</f>
        <v>0.61</v>
      </c>
      <c r="AH77" s="19">
        <f>IF(Budget!$N$6=0,AB77,(((AB77*$E$6)+(AC77*$E$7))/$E$5))</f>
        <v>0.61</v>
      </c>
      <c r="AI77" s="19">
        <f>IF(Budget!$O$6=AC77,,AC77)</f>
        <v>0.61</v>
      </c>
      <c r="AJ77" s="17"/>
    </row>
    <row r="78" spans="1:77" ht="12.75" customHeight="1" x14ac:dyDescent="0.2">
      <c r="A78" s="136" t="s">
        <v>170</v>
      </c>
      <c r="B78" s="18">
        <v>0.38</v>
      </c>
      <c r="C78" s="18">
        <v>0.38500000000000001</v>
      </c>
      <c r="D78" s="18">
        <v>0.39</v>
      </c>
      <c r="E78" s="18">
        <v>0.39</v>
      </c>
      <c r="F78" s="18">
        <v>0.39</v>
      </c>
      <c r="G78" s="18">
        <v>0.39</v>
      </c>
      <c r="H78" s="138">
        <v>0.39</v>
      </c>
      <c r="I78" s="18">
        <v>0.39</v>
      </c>
      <c r="J78" s="18">
        <v>0.42499999999999999</v>
      </c>
      <c r="K78" s="18">
        <v>0.42499999999999999</v>
      </c>
      <c r="L78" s="18">
        <v>0.42499999999999999</v>
      </c>
      <c r="M78" s="18">
        <v>0.42499999999999999</v>
      </c>
      <c r="N78" s="18">
        <v>0.42499999999999999</v>
      </c>
      <c r="O78" s="18">
        <v>0.42499999999999999</v>
      </c>
      <c r="P78" s="18">
        <v>0.42499999999999999</v>
      </c>
      <c r="Q78" s="18">
        <v>0.42499999999999999</v>
      </c>
      <c r="R78" s="18">
        <v>0.42499999999999999</v>
      </c>
      <c r="S78" s="18">
        <v>0.42499999999999999</v>
      </c>
      <c r="T78" s="18">
        <v>0.42499999999999999</v>
      </c>
      <c r="U78" s="18">
        <v>0.42499999999999999</v>
      </c>
      <c r="V78" s="18">
        <v>0.42499999999999999</v>
      </c>
      <c r="W78" s="18">
        <v>0.42499999999999999</v>
      </c>
      <c r="Y78" s="19">
        <f>IF($B$4=$B$74,B78,IF($B$4=$C$74,C78,IF($B$4=$D$74,D78,IF($B$4=$E$74,E78,IF($B$4=$F$74,F78,IF($B$4=$G$74,G78,IF($B$4=$H$74,H78,IF($B$4=$I$74,I78,IF($B$4=$J$74,J78,IF($B$4=$K$74,K78,IF($B$4=$L$74,L78,IF($B$4=$M$74,M78,IF($B$4=$N$74,N78,IF($B$4=$O$74,O78,IF($B$4=$P$74,P78,IF($B$4=$Q$74,Q78,IF($B$4=$R$74,R78,IF($B$4=$S$74,S78,IF($B$4=$T$74,T78,IF($B$4=$U$74,U78,IF($B$4=$V$74,V78,IF($B$4=$W$74,W78,FALSE))))))))))))))))))))))</f>
        <v>0.42499999999999999</v>
      </c>
      <c r="Z78" s="19">
        <f t="shared" ref="Z78:Z80" si="42">IF($C$4=$B$74,B78,IF($C$4=$C$74,C78,IF($C$4=$D$74,D78,IF($C$4=$E$74,E78,IF($C$4=$F$74,F78,IF($C$4=$G$74,G78,IF($C$4=$H$74,H78,IF($C$4=$I$74,I78,IF($C$4=$J$74,J78,IF($C$4=$K$74,K78,IF($C$4=$L$74,L78,IF($C$4=$M$74,M78,IF($C$4=$N$74,N78,IF($C$4=$O$74,O78,IF($C$4=$P$74,P78,IF($C$4=$Q$74,Q78,IF($C$4=$R$74,R78,IF($C$4=$S$74,S78,IF($C$4=$T$74,T78,IF($C$4=$U$74,U78,IF($C$4=$V$74,V78,IF($C$4=$W$74,W78,FALSE))))))))))))))))))))))</f>
        <v>0.42499999999999999</v>
      </c>
      <c r="AA78" s="19">
        <f t="shared" si="38"/>
        <v>0.42499999999999999</v>
      </c>
      <c r="AB78" s="19">
        <f t="shared" si="39"/>
        <v>0.42499999999999999</v>
      </c>
      <c r="AC78" s="19">
        <f>IF($F$4=$B$74,B78, IF($F$4=$C$74,C78,IF($F$4=$D$74,D78,IF($F$4=$E$74,E78,IF($F$4=$F$74,F78,IF($F$4=$G$74,G78,IF($F$4=$H$74,H78,IF($F$4=$I$74,I78,IF($F$4=$J$74,J78,IF($F$4=$K$74,K78,IF($F$4=$L$74,L78,IF($F$4=$M$74,M78,IF($F$4=$N$74,N78,IF($F$4=$O$74,O78,IF($F$4=$P$74,P78,IF($F$4=$Q$74,Q78,IF($F$4=$R$74,R78,IF($F$4=$S$74,S78,IF($F$4=$T$74,T78,IF($F$4=$U$74,U78,IF($F$4=$V$74,V78,IF($F$4=$W$74,W78,FALSE))))))))))))))))))))))</f>
        <v>0.42499999999999999</v>
      </c>
      <c r="AD78" s="17"/>
      <c r="AE78" s="19">
        <f t="shared" si="41"/>
        <v>0.42499999999999999</v>
      </c>
      <c r="AF78" s="19">
        <f>IF(Budget!$L$6=0,Z78,(((Z78*$C$6)+(AA78*$C$7))/$C$5))</f>
        <v>0.42499999999999999</v>
      </c>
      <c r="AG78" s="19">
        <f>IF(Budget!$M$6=0,AA78,(((AA78*$D$6)+(AB78*$D$7))/$D$5))</f>
        <v>0.42499999999999999</v>
      </c>
      <c r="AH78" s="19">
        <f>IF(Budget!$N$6=0,AB78,(((AB78*$E$6)+(AC78*$E$7))/$E$5))</f>
        <v>0.42499999999999999</v>
      </c>
      <c r="AI78" s="19">
        <f>IF(Budget!$O$6=AC78,,AC78)</f>
        <v>0.42499999999999999</v>
      </c>
      <c r="AJ78" s="17"/>
    </row>
    <row r="79" spans="1:77" ht="12.75" customHeight="1" x14ac:dyDescent="0.2">
      <c r="A79" s="18" t="s">
        <v>171</v>
      </c>
      <c r="B79" s="18">
        <v>0.25</v>
      </c>
      <c r="C79" s="18">
        <v>0.25</v>
      </c>
      <c r="D79" s="18">
        <v>0.25</v>
      </c>
      <c r="E79" s="18">
        <v>0.25</v>
      </c>
      <c r="F79" s="18">
        <v>0.25</v>
      </c>
      <c r="G79" s="18">
        <v>0.3</v>
      </c>
      <c r="H79" s="138">
        <v>0.3</v>
      </c>
      <c r="I79" s="18">
        <v>0.3</v>
      </c>
      <c r="J79" s="18">
        <v>0.3</v>
      </c>
      <c r="K79" s="18">
        <v>0.35</v>
      </c>
      <c r="L79" s="18">
        <v>0.35</v>
      </c>
      <c r="M79" s="18">
        <v>0.35</v>
      </c>
      <c r="N79" s="18">
        <v>0.4</v>
      </c>
      <c r="O79" s="18">
        <v>0.4</v>
      </c>
      <c r="P79" s="18">
        <v>0.4</v>
      </c>
      <c r="Q79" s="18">
        <v>0.4</v>
      </c>
      <c r="R79" s="18">
        <v>0.4</v>
      </c>
      <c r="S79" s="18">
        <v>0.4</v>
      </c>
      <c r="T79" s="18">
        <v>0.4</v>
      </c>
      <c r="U79" s="18">
        <v>0.4</v>
      </c>
      <c r="V79" s="18">
        <v>0.4</v>
      </c>
      <c r="W79" s="18">
        <v>0.4</v>
      </c>
      <c r="Y79" s="19">
        <f t="shared" si="37"/>
        <v>0.4</v>
      </c>
      <c r="Z79" s="19">
        <f>IF($C$4=$B$74,B79,IF($C$4=$C$74,C79,IF($C$4=$D$74,D79,IF($C$4=$E$74,E79,IF($C$4=$F$74,F79,IF($C$4=$G$74,G79,IF($C$4=$H$74,H79,IF($C$4=$I$74,I79,IF($C$4=$J$74,J79,IF($C$4=$K$74,K79,IF($C$4=$L$74,L79,IF($C$4=$M$74,M79,IF($C$4=$N$74,N79,IF($C$4=$O$74,O79,IF($C$4=$P$74,P79,IF($C$4=$Q$74,Q79,IF($C$4=$R$74,R79,IF($C$4=$S$74,S79,IF($C$4=$T$74,T79,IF($C$4=$U$74,U79,IF($C$4=$V$74,V79,IF($C$4=$W$74,W79,FALSE))))))))))))))))))))))</f>
        <v>0.4</v>
      </c>
      <c r="AA79" s="19">
        <f t="shared" si="38"/>
        <v>0.4</v>
      </c>
      <c r="AB79" s="19">
        <f t="shared" si="39"/>
        <v>0.4</v>
      </c>
      <c r="AC79" s="19">
        <f t="shared" si="40"/>
        <v>0.4</v>
      </c>
      <c r="AD79" s="17"/>
      <c r="AE79" s="19">
        <f t="shared" si="41"/>
        <v>0.40000000000000008</v>
      </c>
      <c r="AF79" s="19">
        <f>IF(Budget!$L$6=0,Z79,(((Z79*$C$6)+(AA79*$C$7))/$C$5))</f>
        <v>0.40000000000000008</v>
      </c>
      <c r="AG79" s="19">
        <f>IF(Budget!$M$6=0,AA79,(((AA79*$D$6)+(AB79*$D$7))/$D$5))</f>
        <v>0.40000000000000008</v>
      </c>
      <c r="AH79" s="19">
        <f>IF(Budget!$N$6=0,AB79,(((AB79*$E$6)+(AC79*$E$7))/$E$5))</f>
        <v>0.40000000000000008</v>
      </c>
      <c r="AI79" s="19">
        <f>IF(Budget!$O$6=AC79,,AC79)</f>
        <v>0.4</v>
      </c>
      <c r="AJ79" s="17"/>
    </row>
    <row r="80" spans="1:77" ht="12.75" customHeight="1" x14ac:dyDescent="0.2">
      <c r="A80" s="18" t="s">
        <v>172</v>
      </c>
      <c r="B80" s="18">
        <v>0.25</v>
      </c>
      <c r="C80" s="18">
        <v>0.25</v>
      </c>
      <c r="D80" s="18">
        <v>0.1</v>
      </c>
      <c r="E80" s="18">
        <v>0.15</v>
      </c>
      <c r="F80" s="18">
        <v>0.2</v>
      </c>
      <c r="G80" s="18">
        <v>0.25</v>
      </c>
      <c r="H80" s="138">
        <v>0.25</v>
      </c>
      <c r="I80" s="18">
        <v>0.25</v>
      </c>
      <c r="J80" s="18">
        <v>0.25</v>
      </c>
      <c r="K80" s="18">
        <v>0.25</v>
      </c>
      <c r="L80" s="18">
        <v>0.25</v>
      </c>
      <c r="M80" s="18">
        <v>0.25</v>
      </c>
      <c r="N80" s="18">
        <v>0.25</v>
      </c>
      <c r="O80" s="18">
        <v>0.25</v>
      </c>
      <c r="P80" s="18">
        <v>0.25</v>
      </c>
      <c r="Q80" s="18">
        <v>0.25</v>
      </c>
      <c r="R80" s="18">
        <v>0.25</v>
      </c>
      <c r="S80" s="18">
        <v>0.25</v>
      </c>
      <c r="T80" s="18">
        <v>0.25</v>
      </c>
      <c r="U80" s="18">
        <v>0.25</v>
      </c>
      <c r="V80" s="18">
        <v>0.25</v>
      </c>
      <c r="W80" s="18">
        <v>0.25</v>
      </c>
      <c r="Y80" s="19">
        <f>IF($B$4=$B$74,B80,IF($B$4=$C$74,C80,IF($B$4=$D$74,D80,IF($B$4=$E$74,E80,IF($B$4=$F$74,F80,IF($B$4=$G$74,G80,IF($B$4=$H$74,H80,IF($B$4=$I$74,I80,IF($B$4=$J$74,J80,IF($B$4=$K$74,K80,IF($B$4=$L$74,L80,IF($B$4=$M$74,M80,IF($B$4=$N$74,N80,IF($B$4=$O$74,O80,IF($B$4=$P$74,P80,IF($B$4=$Q$74,Q80,IF($B$4=$R$74,R80,IF($B$4=$S$74,S80,IF($B$4=$T$74,T80,IF($B$4=$U$74,U80,IF($B$4=$V$74,V80,IF($B$4=$W$74,W80,FALSE))))))))))))))))))))))</f>
        <v>0.25</v>
      </c>
      <c r="Z80" s="19">
        <f t="shared" si="42"/>
        <v>0.25</v>
      </c>
      <c r="AA80" s="19">
        <f t="shared" si="38"/>
        <v>0.25</v>
      </c>
      <c r="AB80" s="19">
        <f t="shared" si="39"/>
        <v>0.25</v>
      </c>
      <c r="AC80" s="19">
        <f t="shared" si="40"/>
        <v>0.25</v>
      </c>
      <c r="AD80" s="17"/>
      <c r="AE80" s="19">
        <f>((Y80*$B$6)+(Z80*$B$7))/$B$5</f>
        <v>0.25</v>
      </c>
      <c r="AF80" s="19">
        <f>IF(Budget!$L$6=0,Z80,(((Z80*$C$6)+(AA80*$C$7))/$C$5))</f>
        <v>0.25</v>
      </c>
      <c r="AG80" s="19">
        <f>IF(Budget!$M$6=0,AA80,(((AA80*$D$6)+(AB80*$D$7))/$D$5))</f>
        <v>0.25</v>
      </c>
      <c r="AH80" s="19">
        <f>IF(Budget!$N$6=0,AB80,(((AB80*$E$6)+(AC80*$E$7))/$E$5))</f>
        <v>0.25</v>
      </c>
      <c r="AI80" s="19">
        <f>IF(Budget!$O$6=AC80,,AC80)</f>
        <v>0.25</v>
      </c>
      <c r="AJ80" s="17"/>
    </row>
    <row r="81" spans="1:30" ht="12.75" customHeight="1" x14ac:dyDescent="0.2">
      <c r="A81" s="64"/>
      <c r="H81" s="126"/>
      <c r="S81" s="70"/>
      <c r="T81" s="70"/>
      <c r="U81" s="127"/>
      <c r="V81" s="127"/>
      <c r="W81" s="127"/>
      <c r="X81" s="127"/>
      <c r="Y81" s="127"/>
      <c r="Z81" s="127"/>
      <c r="AA81" s="70"/>
      <c r="AB81" s="70"/>
      <c r="AC81" s="70"/>
      <c r="AD81" s="128"/>
    </row>
    <row r="82" spans="1:30" ht="12.75" customHeight="1" x14ac:dyDescent="0.2">
      <c r="A82" s="18" t="s">
        <v>111</v>
      </c>
      <c r="S82" s="129"/>
      <c r="T82" s="130"/>
      <c r="U82" s="131"/>
      <c r="V82" s="131"/>
      <c r="W82" s="131"/>
      <c r="X82" s="131"/>
      <c r="Y82" s="131"/>
      <c r="Z82" s="131"/>
      <c r="AA82" s="131"/>
      <c r="AB82" s="131"/>
      <c r="AC82" s="131"/>
      <c r="AD82" s="131"/>
    </row>
    <row r="83" spans="1:30" ht="12.75" customHeight="1" x14ac:dyDescent="0.2">
      <c r="A83" s="18" t="s">
        <v>105</v>
      </c>
      <c r="N83" s="127"/>
      <c r="O83" s="70"/>
      <c r="P83" s="70"/>
      <c r="Q83" s="70"/>
      <c r="R83" s="70"/>
      <c r="S83" s="70"/>
      <c r="T83" s="70"/>
      <c r="U83" s="70"/>
      <c r="V83" s="70"/>
      <c r="W83" s="70"/>
    </row>
    <row r="84" spans="1:30" ht="12.75" customHeight="1" x14ac:dyDescent="0.2">
      <c r="A84" s="18" t="s">
        <v>97</v>
      </c>
      <c r="N84" s="127"/>
      <c r="O84" s="70"/>
      <c r="P84" s="70"/>
      <c r="Q84" s="70"/>
      <c r="R84" s="70"/>
      <c r="S84" s="70"/>
      <c r="T84" s="70"/>
      <c r="U84" s="70"/>
      <c r="V84" s="70"/>
      <c r="W84" s="70"/>
    </row>
    <row r="85" spans="1:30" ht="12.75" customHeight="1" x14ac:dyDescent="0.2">
      <c r="A85" s="139" t="s">
        <v>310</v>
      </c>
    </row>
    <row r="86" spans="1:30" ht="12.75" customHeight="1" x14ac:dyDescent="0.2">
      <c r="A86" s="18" t="s">
        <v>69</v>
      </c>
      <c r="H86" s="126"/>
      <c r="J86" s="132"/>
    </row>
    <row r="87" spans="1:30" ht="12.75" customHeight="1" x14ac:dyDescent="0.2">
      <c r="A87" s="18" t="s">
        <v>173</v>
      </c>
      <c r="H87" s="126"/>
      <c r="J87" s="132"/>
    </row>
    <row r="88" spans="1:30" ht="12.75" customHeight="1" x14ac:dyDescent="0.2">
      <c r="A88" s="18" t="s">
        <v>174</v>
      </c>
      <c r="H88" s="126"/>
      <c r="J88" s="132"/>
    </row>
    <row r="89" spans="1:30" ht="12.75" customHeight="1" x14ac:dyDescent="0.2">
      <c r="A89" s="18" t="s">
        <v>175</v>
      </c>
      <c r="H89" s="126"/>
      <c r="J89" s="132"/>
    </row>
    <row r="90" spans="1:30" ht="12.75" customHeight="1" x14ac:dyDescent="0.2">
      <c r="A90" s="18" t="s">
        <v>171</v>
      </c>
    </row>
    <row r="91" spans="1:30" ht="12.75" customHeight="1" x14ac:dyDescent="0.2">
      <c r="A91" s="139" t="s">
        <v>172</v>
      </c>
    </row>
    <row r="92" spans="1:30" ht="12.75" customHeight="1" x14ac:dyDescent="0.2">
      <c r="A92" s="4"/>
      <c r="B92" s="3" t="s">
        <v>176</v>
      </c>
      <c r="C92" s="4"/>
      <c r="D92" s="141"/>
      <c r="E92" s="4"/>
      <c r="F92" s="4"/>
      <c r="G92" s="4"/>
      <c r="I92" s="5" t="s">
        <v>215</v>
      </c>
      <c r="J92" s="106"/>
      <c r="L92" s="106"/>
      <c r="M92" s="62"/>
    </row>
    <row r="93" spans="1:30" ht="12.75" customHeight="1" x14ac:dyDescent="0.2">
      <c r="A93" s="18"/>
      <c r="B93" s="30" t="s">
        <v>154</v>
      </c>
      <c r="C93" s="18" t="s">
        <v>155</v>
      </c>
      <c r="D93" s="18" t="s">
        <v>156</v>
      </c>
      <c r="E93" s="18" t="s">
        <v>157</v>
      </c>
      <c r="F93" s="18" t="s">
        <v>158</v>
      </c>
      <c r="G93" s="18" t="s">
        <v>8</v>
      </c>
      <c r="I93" s="5" t="s">
        <v>177</v>
      </c>
      <c r="K93" s="62"/>
    </row>
    <row r="94" spans="1:30" ht="12.75" customHeight="1" x14ac:dyDescent="0.2">
      <c r="A94" s="143" t="s">
        <v>111</v>
      </c>
      <c r="B94" s="154">
        <f>Budget!K167-Budget!K165-Budget!K145-Budget!K90-Budget!K63+Budget!K130+Budget!K132+Budget!K134+Budget!K136+Budget!K138+Budget!K140+Budget!K142+Budget!K144</f>
        <v>0</v>
      </c>
      <c r="C94" s="154">
        <f>Budget!L167-Budget!L165-Budget!L145-Budget!L90-Budget!L63+Budget!L130+Budget!L132+Budget!L134+Budget!L136+Budget!L138+Budget!L140+Budget!L142+Budget!L144</f>
        <v>0</v>
      </c>
      <c r="D94" s="154">
        <f>Budget!M167-Budget!M165-Budget!M145-Budget!M90-Budget!M63+Budget!M130+Budget!M132+Budget!M134+Budget!M136+Budget!M138+Budget!M140+Budget!M142+Budget!M144</f>
        <v>0</v>
      </c>
      <c r="E94" s="154">
        <f>Budget!$N$167-Budget!$N$165-Budget!$N$145-Budget!$N$90-Budget!N63+Budget!$N$130+Budget!$N$132+Budget!$N$134+Budget!$N$136+Budget!$N$138+Budget!$N$140+Budget!$N$142+Budget!$N$144</f>
        <v>0</v>
      </c>
      <c r="F94" s="154">
        <f>Budget!O167-Budget!O165-Budget!O145-Budget!O90-Budget!O63+Budget!O130+Budget!O132+Budget!O134+Budget!O136+Budget!O138+Budget!O140+Budget!O142+Budget!O144</f>
        <v>0</v>
      </c>
      <c r="G94" s="154">
        <f t="shared" ref="G94:G101" si="43">SUM(B94:F94)</f>
        <v>0</v>
      </c>
      <c r="J94" s="192"/>
      <c r="K94" s="158"/>
      <c r="L94" s="158"/>
      <c r="M94" s="158"/>
      <c r="N94" s="158"/>
      <c r="O94" s="158"/>
      <c r="P94" s="158"/>
      <c r="R94" s="116"/>
      <c r="S94" s="116"/>
    </row>
    <row r="95" spans="1:30" ht="12.75" customHeight="1" x14ac:dyDescent="0.2">
      <c r="A95" s="143" t="s">
        <v>178</v>
      </c>
      <c r="B95" s="154">
        <f>Budget!K167-(IF(Budget!D129="UC",Budget!K129,0))-(IF(Budget!D131="UC",Budget!K131,0))-(IF(Budget!D133="UC",Budget!K133,0))-(IF(Budget!D135="UC",Budget!K135,0))-(IF(Budget!D137="UC",Budget!K137,0))-(IF(Budget!D139="UC",Budget!K139,0))-(IF(Budget!D141="UC",Budget!K141,0))-(IF(Budget!D143="UC",Budget!K143,0))</f>
        <v>0</v>
      </c>
      <c r="C95" s="154">
        <f>Budget!L167-(IF(Budget!D129="UC",Budget!L129,0))-(IF(Budget!D131="UC",Budget!L131,0))-(IF(Budget!D133="UC",Budget!L133,0))-(IF(Budget!D135="UC",Budget!L135,0))-(IF(Budget!D137="UC",Budget!L137,0))-(IF(Budget!D139="UC",Budget!L139,0))-(IF(Budget!D141="UC",Budget!L141,0))-(IF(Budget!D143="UC",Budget!L143,0))</f>
        <v>0</v>
      </c>
      <c r="D95" s="154">
        <f>Budget!M167-(IF(Budget!D129="UC",Budget!M129,0))-(IF(Budget!D131="UC",Budget!M131,0))-(IF(Budget!D133="UC",Budget!M133,0))-(IF(Budget!D135="UC",Budget!M135,0))-(IF(Budget!D137="UC",Budget!M137,0))-(IF(Budget!D139="UC",Budget!M139,0))-(IF(Budget!D141="UC",Budget!M141,0))-(IF(Budget!D143="UC",Budget!M143,0))</f>
        <v>0</v>
      </c>
      <c r="E95" s="154">
        <f>Budget!$N$167-(IF(Budget!$D$129="UC",Budget!$N$129,0))-(IF(Budget!$D$131="UC",Budget!$N$131,0))-(IF(Budget!$D$133="UC",Budget!$N$133,0))-(IF(Budget!$D$135="UC",Budget!$N$135,0))-(IF(Budget!$D$137="UC",Budget!$N$137,0))-(IF(Budget!$D$139="UC",Budget!$N$139,0))-(IF(Budget!$D$141="UC",Budget!$N$141,0))-(IF(Budget!$D$143="UC",Budget!$N$143,0))</f>
        <v>0</v>
      </c>
      <c r="F95" s="154">
        <f>Budget!O167-(IF(Budget!D129="UC",Budget!O129,0))-(IF(Budget!D131="UC",Budget!O131,0))-(IF(Budget!D133="UC",Budget!O133,0))-(IF(Budget!D135="UC",Budget!O135,0))-(IF(Budget!D137="UC",Budget!O137,0))-(IF(Budget!D139="UC",Budget!O139,0))-(IF(Budget!D141="UC",Budget!O141,0))-(IF(Budget!D143="UC",Budget!O143,0))</f>
        <v>0</v>
      </c>
      <c r="G95" s="154">
        <f t="shared" si="43"/>
        <v>0</v>
      </c>
      <c r="J95" s="192"/>
      <c r="K95" s="158"/>
      <c r="L95" s="158"/>
      <c r="M95" s="158"/>
      <c r="N95" s="158"/>
      <c r="O95" s="158"/>
      <c r="P95" s="158"/>
      <c r="R95" s="116"/>
      <c r="S95" s="116"/>
    </row>
    <row r="96" spans="1:30" ht="12.75" customHeight="1" x14ac:dyDescent="0.2">
      <c r="A96" s="144" t="s">
        <v>179</v>
      </c>
      <c r="B96" s="154">
        <f>Budget!K56</f>
        <v>0</v>
      </c>
      <c r="C96" s="154">
        <f>Budget!L56</f>
        <v>0</v>
      </c>
      <c r="D96" s="154">
        <f>Budget!M56</f>
        <v>0</v>
      </c>
      <c r="E96" s="154">
        <f>Budget!N56</f>
        <v>0</v>
      </c>
      <c r="F96" s="154">
        <f>Budget!O56</f>
        <v>0</v>
      </c>
      <c r="G96" s="154">
        <f t="shared" si="43"/>
        <v>0</v>
      </c>
      <c r="J96" s="193"/>
      <c r="K96" s="158"/>
      <c r="L96" s="158"/>
      <c r="M96" s="158"/>
      <c r="N96" s="158"/>
      <c r="O96" s="158"/>
      <c r="P96" s="158"/>
      <c r="R96" s="117"/>
    </row>
    <row r="97" spans="1:19" ht="12.75" customHeight="1" x14ac:dyDescent="0.2">
      <c r="A97" s="144" t="s">
        <v>69</v>
      </c>
      <c r="B97" s="154">
        <f>Budget!K170</f>
        <v>0</v>
      </c>
      <c r="C97" s="154">
        <f>Budget!L170</f>
        <v>0</v>
      </c>
      <c r="D97" s="154">
        <f>Budget!M170</f>
        <v>0</v>
      </c>
      <c r="E97" s="154">
        <f>Budget!$N$170</f>
        <v>0</v>
      </c>
      <c r="F97" s="154">
        <f>Budget!O170</f>
        <v>0</v>
      </c>
      <c r="G97" s="154">
        <f t="shared" si="43"/>
        <v>0</v>
      </c>
      <c r="J97" s="193"/>
      <c r="K97" s="158"/>
      <c r="L97" s="158"/>
      <c r="M97" s="158"/>
      <c r="N97" s="158"/>
      <c r="O97" s="158"/>
      <c r="P97" s="158"/>
      <c r="R97" s="117"/>
    </row>
    <row r="98" spans="1:19" ht="12.75" customHeight="1" x14ac:dyDescent="0.2">
      <c r="A98" s="144" t="s">
        <v>309</v>
      </c>
      <c r="B98" s="154">
        <f>Budget!$K$167-Budget!K145</f>
        <v>0</v>
      </c>
      <c r="C98" s="154">
        <f>Budget!$L$167-Budget!$L$145</f>
        <v>0</v>
      </c>
      <c r="D98" s="154">
        <f>Budget!$M$167-Budget!$M$145</f>
        <v>0</v>
      </c>
      <c r="E98" s="154">
        <f>Budget!$N$167-Budget!$N$145</f>
        <v>0</v>
      </c>
      <c r="F98" s="154">
        <f>Budget!$O$167-Budget!$O$145</f>
        <v>0</v>
      </c>
      <c r="G98" s="154">
        <f>SUM(B98:F98)</f>
        <v>0</v>
      </c>
      <c r="J98" s="193"/>
      <c r="K98" s="158"/>
      <c r="L98" s="158"/>
      <c r="M98" s="158"/>
      <c r="N98" s="158"/>
      <c r="O98" s="158"/>
      <c r="P98" s="158"/>
      <c r="R98" s="117"/>
    </row>
    <row r="99" spans="1:19" ht="12.75" customHeight="1" x14ac:dyDescent="0.2">
      <c r="A99" s="145"/>
      <c r="B99" s="147" t="s">
        <v>180</v>
      </c>
      <c r="C99" s="146"/>
      <c r="D99" s="146"/>
      <c r="E99" s="146"/>
      <c r="F99" s="146"/>
      <c r="G99" s="146"/>
      <c r="H99" s="118"/>
      <c r="J99" s="193"/>
      <c r="K99" s="194"/>
      <c r="L99" s="195"/>
      <c r="M99" s="195"/>
      <c r="N99" s="195"/>
      <c r="O99" s="195"/>
      <c r="P99" s="195"/>
      <c r="R99" s="117"/>
      <c r="S99" s="117"/>
    </row>
    <row r="100" spans="1:19" ht="12.75" customHeight="1" x14ac:dyDescent="0.2">
      <c r="A100" s="140" t="s">
        <v>181</v>
      </c>
      <c r="B100" s="153">
        <f>ROUND((B94*$AE$75),0)</f>
        <v>0</v>
      </c>
      <c r="C100" s="153">
        <f>ROUND((C94*$AF$75),0)</f>
        <v>0</v>
      </c>
      <c r="D100" s="153">
        <f>ROUND((D94*$AG$75),0)</f>
        <v>0</v>
      </c>
      <c r="E100" s="153">
        <f>ROUND((E94*$AH$75),0)</f>
        <v>0</v>
      </c>
      <c r="F100" s="153">
        <f>ROUND((F94*$AI$75),0)</f>
        <v>0</v>
      </c>
      <c r="G100" s="153">
        <f t="shared" si="43"/>
        <v>0</v>
      </c>
      <c r="H100" s="118"/>
      <c r="J100" s="196"/>
      <c r="K100" s="158"/>
      <c r="L100" s="158"/>
      <c r="M100" s="158"/>
      <c r="N100" s="158"/>
      <c r="O100" s="158"/>
      <c r="P100" s="158"/>
      <c r="R100" s="117"/>
      <c r="S100" s="117"/>
    </row>
    <row r="101" spans="1:19" ht="12.75" customHeight="1" x14ac:dyDescent="0.2">
      <c r="A101" s="137" t="s">
        <v>182</v>
      </c>
      <c r="B101" s="153">
        <f>ROUND((B94*$AE$76),0)</f>
        <v>0</v>
      </c>
      <c r="C101" s="153">
        <f>ROUND((C94*$AF$76),0)</f>
        <v>0</v>
      </c>
      <c r="D101" s="153">
        <f>ROUND((D94*$AG$76),0)</f>
        <v>0</v>
      </c>
      <c r="E101" s="153">
        <f>ROUND((E94*$AH$76),0)</f>
        <v>0</v>
      </c>
      <c r="F101" s="153">
        <f>ROUND((F94*$AI$76),0)</f>
        <v>0</v>
      </c>
      <c r="G101" s="153">
        <f t="shared" si="43"/>
        <v>0</v>
      </c>
      <c r="H101" s="118"/>
      <c r="J101" s="118"/>
      <c r="K101" s="158"/>
      <c r="L101" s="158"/>
      <c r="M101" s="158"/>
      <c r="N101" s="158"/>
      <c r="O101" s="158"/>
      <c r="P101" s="158"/>
      <c r="R101" s="117"/>
      <c r="S101" s="117"/>
    </row>
    <row r="102" spans="1:19" ht="12.75" customHeight="1" x14ac:dyDescent="0.2">
      <c r="A102" s="137" t="s">
        <v>183</v>
      </c>
      <c r="B102" s="153">
        <f>ROUND((B94*$AE$77),0)</f>
        <v>0</v>
      </c>
      <c r="C102" s="153">
        <f>ROUND((C94*$AF$77),0)</f>
        <v>0</v>
      </c>
      <c r="D102" s="153">
        <f>ROUND((D94*$AG$77),0)</f>
        <v>0</v>
      </c>
      <c r="E102" s="153">
        <f>ROUND((E94*$AH$77),0)</f>
        <v>0</v>
      </c>
      <c r="F102" s="153">
        <f>ROUND((F94*$AI$77),0)</f>
        <v>0</v>
      </c>
      <c r="G102" s="153">
        <f>SUM(B102:F102)</f>
        <v>0</v>
      </c>
      <c r="H102" s="118"/>
      <c r="J102" s="118"/>
      <c r="K102" s="158"/>
      <c r="L102" s="158"/>
      <c r="M102" s="158"/>
      <c r="N102" s="158"/>
      <c r="O102" s="158"/>
      <c r="P102" s="158"/>
      <c r="R102" s="117"/>
      <c r="S102" s="117"/>
    </row>
    <row r="103" spans="1:19" ht="12.75" customHeight="1" x14ac:dyDescent="0.2">
      <c r="A103" s="137" t="s">
        <v>184</v>
      </c>
      <c r="B103" s="153">
        <f>ROUND((B94*$AE$78),0)</f>
        <v>0</v>
      </c>
      <c r="C103" s="153">
        <f>ROUND((C94*$AF$78),0)</f>
        <v>0</v>
      </c>
      <c r="D103" s="153">
        <f>ROUND((D94*$AG$78),0)</f>
        <v>0</v>
      </c>
      <c r="E103" s="153">
        <f>ROUND((E94*$AH$78),0)</f>
        <v>0</v>
      </c>
      <c r="F103" s="153">
        <f>ROUND((F94*$AI$78),0)</f>
        <v>0</v>
      </c>
      <c r="G103" s="153">
        <f>SUM(B103:F103)</f>
        <v>0</v>
      </c>
      <c r="H103" s="118"/>
      <c r="J103" s="118"/>
      <c r="K103" s="158"/>
      <c r="L103" s="158"/>
      <c r="M103" s="158"/>
      <c r="N103" s="158"/>
      <c r="O103" s="158"/>
      <c r="P103" s="158"/>
    </row>
    <row r="104" spans="1:19" ht="12.75" customHeight="1" x14ac:dyDescent="0.2">
      <c r="A104" s="137" t="s">
        <v>185</v>
      </c>
      <c r="B104" s="153">
        <f>Budget!$K$172</f>
        <v>0</v>
      </c>
      <c r="C104" s="153">
        <f>Budget!$L$172</f>
        <v>0</v>
      </c>
      <c r="D104" s="153">
        <f>Budget!$M$172</f>
        <v>0</v>
      </c>
      <c r="E104" s="153">
        <f>Budget!$N$172</f>
        <v>0</v>
      </c>
      <c r="F104" s="153">
        <f>Budget!$O$172</f>
        <v>0</v>
      </c>
      <c r="G104" s="153">
        <f>SUM(B104:F104)</f>
        <v>0</v>
      </c>
      <c r="H104" s="118"/>
      <c r="J104" s="118"/>
      <c r="K104" s="158"/>
      <c r="L104" s="158"/>
      <c r="M104" s="158"/>
      <c r="N104" s="158"/>
      <c r="O104" s="158"/>
      <c r="P104" s="158"/>
    </row>
    <row r="105" spans="1:19" ht="12.75" customHeight="1" x14ac:dyDescent="0.2">
      <c r="A105" s="137" t="s">
        <v>97</v>
      </c>
      <c r="B105" s="153">
        <f>ROUND(B95*Budget!$J$173,0)</f>
        <v>0</v>
      </c>
      <c r="C105" s="153">
        <f>ROUND(C95*Budget!$J$173,0)</f>
        <v>0</v>
      </c>
      <c r="D105" s="153">
        <f>ROUND(D95*Budget!$J$173,0)</f>
        <v>0</v>
      </c>
      <c r="E105" s="153">
        <f>ROUND(E95*Budget!$J$173,0)</f>
        <v>0</v>
      </c>
      <c r="F105" s="153">
        <f>ROUND(F95*Budget!$J$173,0)</f>
        <v>0</v>
      </c>
      <c r="G105" s="153">
        <f t="shared" ref="G105" si="44">SUM(B105:F105)</f>
        <v>0</v>
      </c>
      <c r="H105" s="118"/>
      <c r="J105" s="118"/>
      <c r="K105" s="158"/>
      <c r="L105" s="158"/>
      <c r="M105" s="158"/>
      <c r="N105" s="158"/>
      <c r="O105" s="158"/>
      <c r="P105" s="158"/>
    </row>
    <row r="106" spans="1:19" ht="12.75" customHeight="1" x14ac:dyDescent="0.2">
      <c r="A106" s="137" t="s">
        <v>105</v>
      </c>
      <c r="B106" s="153">
        <f>ROUND(B95*H106,0)</f>
        <v>0</v>
      </c>
      <c r="C106" s="153">
        <f>ROUND(C95*H106,0)</f>
        <v>0</v>
      </c>
      <c r="D106" s="153">
        <f>ROUND(D95*H106,0)</f>
        <v>0</v>
      </c>
      <c r="E106" s="153">
        <f>ROUND(E95*H106,0)</f>
        <v>0</v>
      </c>
      <c r="F106" s="153">
        <f>ROUND(F95*H106,0)</f>
        <v>0</v>
      </c>
      <c r="G106" s="153">
        <f t="shared" ref="G106:G112" si="45">SUM(B106:F106)</f>
        <v>0</v>
      </c>
      <c r="H106" s="135">
        <f>ROUND((Budget!$J$173/(1-Budget!$J$173)),4)</f>
        <v>0</v>
      </c>
      <c r="I106" s="5" t="s">
        <v>186</v>
      </c>
      <c r="J106" s="118"/>
      <c r="K106" s="158"/>
      <c r="L106" s="158"/>
      <c r="M106" s="158"/>
      <c r="N106" s="158"/>
      <c r="O106" s="158"/>
      <c r="P106" s="158"/>
      <c r="Q106" s="135"/>
    </row>
    <row r="107" spans="1:19" ht="12.75" customHeight="1" x14ac:dyDescent="0.2">
      <c r="A107" s="18" t="s">
        <v>179</v>
      </c>
      <c r="B107" s="153">
        <f>ROUND(B96*Budget!$J$173,0)</f>
        <v>0</v>
      </c>
      <c r="C107" s="153">
        <f>ROUND(C96*Budget!$J$173,0)</f>
        <v>0</v>
      </c>
      <c r="D107" s="153">
        <f>ROUND(D96*Budget!$J$173,0)</f>
        <v>0</v>
      </c>
      <c r="E107" s="153">
        <f>ROUND(E96*Budget!$J$173,0)</f>
        <v>0</v>
      </c>
      <c r="F107" s="153">
        <f>ROUND(F96*Budget!$J$173,0)</f>
        <v>0</v>
      </c>
      <c r="G107" s="153">
        <f t="shared" si="45"/>
        <v>0</v>
      </c>
      <c r="H107" s="133"/>
      <c r="I107" s="134"/>
      <c r="K107" s="197"/>
      <c r="L107" s="197"/>
      <c r="M107" s="197"/>
      <c r="N107" s="197"/>
      <c r="O107" s="197"/>
      <c r="P107" s="158"/>
    </row>
    <row r="108" spans="1:19" ht="12.75" customHeight="1" x14ac:dyDescent="0.2">
      <c r="A108" s="18" t="s">
        <v>187</v>
      </c>
      <c r="B108" s="153">
        <f>ROUND(Budget!$K$170*Budget!$J$173,0)</f>
        <v>0</v>
      </c>
      <c r="C108" s="153">
        <f>ROUND(Budget!$L$170*Budget!$J$173,0)</f>
        <v>0</v>
      </c>
      <c r="D108" s="153">
        <f>ROUND(Budget!$M$170*Budget!$J$173,0)</f>
        <v>0</v>
      </c>
      <c r="E108" s="153">
        <f>ROUND(Budget!$N$170*Budget!$J$173,0)</f>
        <v>0</v>
      </c>
      <c r="F108" s="153">
        <f>ROUND(Budget!$O$170*Budget!$J$173,0)</f>
        <v>0</v>
      </c>
      <c r="G108" s="153">
        <f t="shared" si="45"/>
        <v>0</v>
      </c>
      <c r="K108" s="158"/>
      <c r="L108" s="158"/>
      <c r="M108" s="158"/>
      <c r="N108" s="158"/>
      <c r="O108" s="158"/>
      <c r="P108" s="158"/>
    </row>
    <row r="109" spans="1:19" ht="12.75" customHeight="1" x14ac:dyDescent="0.2">
      <c r="A109" s="18" t="s">
        <v>175</v>
      </c>
      <c r="B109" s="153">
        <f>ROUND((B94*0.25),0)</f>
        <v>0</v>
      </c>
      <c r="C109" s="153">
        <f>ROUND((C94*0.25),0)</f>
        <v>0</v>
      </c>
      <c r="D109" s="153">
        <f>ROUND((D94*0.25),0)</f>
        <v>0</v>
      </c>
      <c r="E109" s="153">
        <f>ROUND((E94*0.25),0)</f>
        <v>0</v>
      </c>
      <c r="F109" s="153">
        <f>ROUND((F94*0.25),0)</f>
        <v>0</v>
      </c>
      <c r="G109" s="153">
        <f t="shared" si="45"/>
        <v>0</v>
      </c>
      <c r="K109" s="158"/>
      <c r="L109" s="158"/>
      <c r="M109" s="158"/>
      <c r="N109" s="158"/>
      <c r="O109" s="158"/>
      <c r="P109" s="158"/>
    </row>
    <row r="110" spans="1:19" ht="12.75" customHeight="1" x14ac:dyDescent="0.2">
      <c r="A110" s="18" t="s">
        <v>171</v>
      </c>
      <c r="B110" s="153">
        <f>ROUND((B94*$AE$79),0)</f>
        <v>0</v>
      </c>
      <c r="C110" s="153">
        <f>ROUND((C94*$AF$79),0)</f>
        <v>0</v>
      </c>
      <c r="D110" s="153">
        <f>ROUND((D94*$AG$79),0)</f>
        <v>0</v>
      </c>
      <c r="E110" s="153">
        <f>ROUND((E94*$AH$79),0)</f>
        <v>0</v>
      </c>
      <c r="F110" s="153">
        <f>ROUND((F94*$AI$79),0)</f>
        <v>0</v>
      </c>
      <c r="G110" s="153">
        <f t="shared" si="45"/>
        <v>0</v>
      </c>
      <c r="K110" s="158"/>
      <c r="L110" s="158"/>
      <c r="M110" s="158"/>
      <c r="N110" s="158"/>
      <c r="O110" s="158"/>
      <c r="P110" s="158"/>
    </row>
    <row r="111" spans="1:19" ht="12.75" customHeight="1" x14ac:dyDescent="0.2">
      <c r="A111" s="18" t="s">
        <v>172</v>
      </c>
      <c r="B111" s="153">
        <f>ROUND((B94*$AE$80),0)</f>
        <v>0</v>
      </c>
      <c r="C111" s="153">
        <f>ROUND((C94*$AF$80),0)</f>
        <v>0</v>
      </c>
      <c r="D111" s="153">
        <f>ROUND((D94*$AG$80),0)</f>
        <v>0</v>
      </c>
      <c r="E111" s="153">
        <f>ROUND((E94*$AH$80),0)</f>
        <v>0</v>
      </c>
      <c r="F111" s="153">
        <f>ROUND((F94*$AI$80),0)</f>
        <v>0</v>
      </c>
      <c r="G111" s="153">
        <f t="shared" si="45"/>
        <v>0</v>
      </c>
      <c r="K111" s="158"/>
      <c r="L111" s="158"/>
      <c r="M111" s="158"/>
      <c r="N111" s="158"/>
      <c r="O111" s="158"/>
      <c r="P111" s="158"/>
    </row>
    <row r="112" spans="1:19" ht="12.75" customHeight="1" x14ac:dyDescent="0.2">
      <c r="A112" s="18" t="s">
        <v>310</v>
      </c>
      <c r="B112" s="153">
        <f>ROUND(B98*Budget!$J$173,0)</f>
        <v>0</v>
      </c>
      <c r="C112" s="153">
        <f>ROUND(C98*Budget!$J$173,0)</f>
        <v>0</v>
      </c>
      <c r="D112" s="153">
        <f>ROUND(D98*Budget!$J$173,0)</f>
        <v>0</v>
      </c>
      <c r="E112" s="153">
        <f>ROUND(E98*Budget!$J$173,0)</f>
        <v>0</v>
      </c>
      <c r="F112" s="153">
        <f>ROUND(F98*Budget!$J$173,0)</f>
        <v>0</v>
      </c>
      <c r="G112" s="153">
        <f t="shared" si="45"/>
        <v>0</v>
      </c>
      <c r="K112" s="158"/>
      <c r="L112" s="158"/>
      <c r="M112" s="158"/>
      <c r="N112" s="158"/>
      <c r="O112" s="158"/>
      <c r="P112" s="158"/>
    </row>
    <row r="113" spans="1:16" ht="12.75" customHeight="1" x14ac:dyDescent="0.2">
      <c r="B113" s="118"/>
      <c r="C113" s="118"/>
      <c r="D113" s="118"/>
      <c r="E113" s="118"/>
      <c r="F113" s="118"/>
      <c r="G113" s="118"/>
    </row>
    <row r="114" spans="1:16" ht="12.75" customHeight="1" x14ac:dyDescent="0.2">
      <c r="A114" s="163" t="s">
        <v>188</v>
      </c>
      <c r="B114" s="164"/>
      <c r="C114" s="165"/>
      <c r="D114" s="164"/>
      <c r="E114" s="164"/>
      <c r="F114" s="164"/>
      <c r="G114" s="164"/>
      <c r="H114" s="168"/>
      <c r="J114" s="190"/>
      <c r="K114" s="168"/>
      <c r="L114" s="191"/>
      <c r="M114" s="168"/>
      <c r="N114" s="168"/>
      <c r="O114" s="168"/>
      <c r="P114" s="168"/>
    </row>
    <row r="115" spans="1:16" ht="12.75" customHeight="1" x14ac:dyDescent="0.2">
      <c r="A115" s="164" t="str">
        <f>IF(Budget!C170="Research - Off Campus","Research",IF(Budget!C170="Research - On Campus","Research - ON",IF(Budget!C170="Other Sponsored Activity - Off Campus","Other",IF(Budget!C170="Other Sponsored Activity - On Campus","Other - ON",FALSE))))</f>
        <v>Research</v>
      </c>
      <c r="B115" s="164"/>
      <c r="C115" s="166"/>
      <c r="D115" s="166"/>
      <c r="E115" s="166"/>
      <c r="F115" s="166"/>
      <c r="G115" s="166"/>
      <c r="H115" s="169"/>
      <c r="J115" s="168"/>
      <c r="K115" s="168"/>
      <c r="L115" s="169"/>
      <c r="M115" s="169"/>
      <c r="N115" s="169"/>
      <c r="O115" s="169"/>
      <c r="P115" s="169"/>
    </row>
    <row r="116" spans="1:16" ht="12.75" customHeight="1" x14ac:dyDescent="0.2">
      <c r="A116" s="164" t="str">
        <f>IF(A115="Research","Research",IF(A115="Research - ON","Research",IF(A115="Other","Other",IF(A115="Other - ON","Other",))))</f>
        <v>Research</v>
      </c>
      <c r="B116" s="164"/>
      <c r="C116" s="164"/>
      <c r="D116" s="164"/>
      <c r="E116" s="164"/>
      <c r="F116" s="164"/>
      <c r="G116" s="164"/>
      <c r="H116" s="168"/>
      <c r="J116" s="168"/>
      <c r="K116" s="168"/>
      <c r="L116" s="168"/>
      <c r="M116" s="168"/>
      <c r="N116" s="168"/>
      <c r="O116" s="168"/>
      <c r="P116" s="168"/>
    </row>
    <row r="117" spans="1:16" ht="12.75" customHeight="1" x14ac:dyDescent="0.2">
      <c r="A117" s="107"/>
      <c r="B117" s="107"/>
      <c r="C117" s="107"/>
      <c r="D117" s="107"/>
      <c r="E117" s="107"/>
      <c r="F117" s="107"/>
      <c r="G117" s="107"/>
      <c r="H117" s="168"/>
      <c r="J117" s="168"/>
      <c r="K117" s="168"/>
      <c r="L117" s="168"/>
      <c r="M117" s="168"/>
      <c r="N117" s="168"/>
      <c r="O117" s="168"/>
      <c r="P117" s="168"/>
    </row>
    <row r="118" spans="1:16" ht="12.75" customHeight="1" x14ac:dyDescent="0.2">
      <c r="A118" s="170" t="s">
        <v>189</v>
      </c>
      <c r="B118" s="170"/>
      <c r="C118" s="164"/>
      <c r="D118" s="164"/>
      <c r="E118" s="164"/>
      <c r="F118" s="164"/>
      <c r="G118" s="164"/>
      <c r="H118" s="168"/>
      <c r="J118" s="168"/>
      <c r="K118" s="168"/>
      <c r="L118" s="168"/>
      <c r="M118" s="168"/>
      <c r="N118" s="168"/>
      <c r="O118" s="168"/>
      <c r="P118" s="168"/>
    </row>
    <row r="119" spans="1:16" ht="12.75" customHeight="1" x14ac:dyDescent="0.2">
      <c r="A119" s="164"/>
      <c r="B119" s="164" t="s">
        <v>154</v>
      </c>
      <c r="C119" s="164" t="s">
        <v>155</v>
      </c>
      <c r="D119" s="164" t="s">
        <v>156</v>
      </c>
      <c r="E119" s="164" t="s">
        <v>157</v>
      </c>
      <c r="F119" s="164" t="s">
        <v>158</v>
      </c>
      <c r="G119" s="167" t="s">
        <v>8</v>
      </c>
      <c r="J119" s="168"/>
      <c r="K119" s="168"/>
      <c r="L119" s="168"/>
      <c r="M119" s="168"/>
      <c r="N119" s="168"/>
      <c r="O119" s="168"/>
      <c r="P119" s="168"/>
    </row>
    <row r="120" spans="1:16" ht="12.75" customHeight="1" x14ac:dyDescent="0.2">
      <c r="A120" s="164" t="s">
        <v>190</v>
      </c>
      <c r="B120" s="171">
        <f>IF($A$115="Research",B100-B104,IF($A$115="Research - ON",B102-B104,))</f>
        <v>0</v>
      </c>
      <c r="C120" s="171">
        <f t="shared" ref="C120:F120" si="46">IF($A$115="Research",C100-C104,IF($A$115="Research - ON",C102-C104,))</f>
        <v>0</v>
      </c>
      <c r="D120" s="171">
        <f t="shared" si="46"/>
        <v>0</v>
      </c>
      <c r="E120" s="171">
        <f t="shared" si="46"/>
        <v>0</v>
      </c>
      <c r="F120" s="171">
        <f t="shared" si="46"/>
        <v>0</v>
      </c>
      <c r="G120" s="519">
        <f t="shared" ref="G120:G133" si="47">SUM(B120:F120)</f>
        <v>0</v>
      </c>
      <c r="J120" s="168"/>
      <c r="K120" s="198"/>
      <c r="L120" s="198"/>
      <c r="M120" s="198"/>
      <c r="N120" s="198"/>
      <c r="O120" s="198"/>
      <c r="P120" s="199"/>
    </row>
    <row r="121" spans="1:16" ht="12.75" customHeight="1" x14ac:dyDescent="0.2">
      <c r="A121" s="164" t="s">
        <v>191</v>
      </c>
      <c r="B121" s="171">
        <f>IF($A$115="Other",B101-B104,IF($A$115="Other - ON",B103-B104,))</f>
        <v>0</v>
      </c>
      <c r="C121" s="171">
        <f t="shared" ref="C121:F121" si="48">IF($A$115="Other",C101-C104,IF($A$115="Other - ON",C103-C104,))</f>
        <v>0</v>
      </c>
      <c r="D121" s="171">
        <f t="shared" si="48"/>
        <v>0</v>
      </c>
      <c r="E121" s="171">
        <f t="shared" si="48"/>
        <v>0</v>
      </c>
      <c r="F121" s="171">
        <f t="shared" si="48"/>
        <v>0</v>
      </c>
      <c r="G121" s="519">
        <f t="shared" si="47"/>
        <v>0</v>
      </c>
      <c r="J121" s="168"/>
      <c r="K121" s="198"/>
      <c r="L121" s="198"/>
      <c r="M121" s="198"/>
      <c r="N121" s="198"/>
      <c r="O121" s="198"/>
      <c r="P121" s="168"/>
    </row>
    <row r="122" spans="1:16" ht="12.75" customHeight="1" x14ac:dyDescent="0.2">
      <c r="A122" s="164" t="s">
        <v>192</v>
      </c>
      <c r="B122" s="171">
        <f>IF($A$115="Research",B100-B105,IF($A$115="Research - ON",B102-B105,))</f>
        <v>0</v>
      </c>
      <c r="C122" s="171">
        <f t="shared" ref="C122:F122" si="49">IF($A$115="Research",C100-C105,IF($A$115="Research - ON",C102-C105,))</f>
        <v>0</v>
      </c>
      <c r="D122" s="171">
        <f t="shared" si="49"/>
        <v>0</v>
      </c>
      <c r="E122" s="171">
        <f t="shared" si="49"/>
        <v>0</v>
      </c>
      <c r="F122" s="171">
        <f t="shared" si="49"/>
        <v>0</v>
      </c>
      <c r="G122" s="519">
        <f t="shared" si="47"/>
        <v>0</v>
      </c>
      <c r="J122" s="168"/>
      <c r="K122" s="198"/>
      <c r="L122" s="198"/>
      <c r="M122" s="198"/>
      <c r="N122" s="198"/>
      <c r="O122" s="198"/>
      <c r="P122" s="168"/>
    </row>
    <row r="123" spans="1:16" ht="12.75" customHeight="1" x14ac:dyDescent="0.2">
      <c r="A123" s="164" t="s">
        <v>193</v>
      </c>
      <c r="B123" s="171">
        <f>IF($A$115="Other",B101-B105,IF($A$115="Other - ON",B103-B105,))</f>
        <v>0</v>
      </c>
      <c r="C123" s="171">
        <f t="shared" ref="C123:F123" si="50">IF($A$115="Other",C101-C105,IF($A$115="Other - ON",C103-C105,))</f>
        <v>0</v>
      </c>
      <c r="D123" s="171">
        <f t="shared" si="50"/>
        <v>0</v>
      </c>
      <c r="E123" s="171">
        <f t="shared" si="50"/>
        <v>0</v>
      </c>
      <c r="F123" s="171">
        <f t="shared" si="50"/>
        <v>0</v>
      </c>
      <c r="G123" s="519">
        <f t="shared" si="47"/>
        <v>0</v>
      </c>
      <c r="J123" s="168"/>
      <c r="K123" s="198"/>
      <c r="L123" s="198"/>
      <c r="M123" s="198"/>
      <c r="N123" s="198"/>
      <c r="O123" s="198"/>
      <c r="P123" s="168"/>
    </row>
    <row r="124" spans="1:16" ht="12.75" customHeight="1" x14ac:dyDescent="0.2">
      <c r="A124" s="164" t="s">
        <v>194</v>
      </c>
      <c r="B124" s="171">
        <f>IF($A$115="Research",B100-B106,IF($A$115="Research - ON",B102-B106,))</f>
        <v>0</v>
      </c>
      <c r="C124" s="171">
        <f t="shared" ref="C124:F124" si="51">IF($A$115="Research",C100-C106,IF($A$115="Research - ON",C102-C106,))</f>
        <v>0</v>
      </c>
      <c r="D124" s="171">
        <f t="shared" si="51"/>
        <v>0</v>
      </c>
      <c r="E124" s="171">
        <f t="shared" si="51"/>
        <v>0</v>
      </c>
      <c r="F124" s="171">
        <f t="shared" si="51"/>
        <v>0</v>
      </c>
      <c r="G124" s="519">
        <f t="shared" si="47"/>
        <v>0</v>
      </c>
      <c r="J124" s="168"/>
      <c r="K124" s="198"/>
      <c r="L124" s="198"/>
      <c r="M124" s="198"/>
      <c r="N124" s="198"/>
      <c r="O124" s="198"/>
      <c r="P124" s="168"/>
    </row>
    <row r="125" spans="1:16" ht="12.75" customHeight="1" x14ac:dyDescent="0.2">
      <c r="A125" s="164" t="s">
        <v>195</v>
      </c>
      <c r="B125" s="171">
        <f>IF($A$115="Other",B101-B106,IF($A$115="Other - ON",B103-B106,))</f>
        <v>0</v>
      </c>
      <c r="C125" s="171">
        <f t="shared" ref="C125:F125" si="52">IF($A$115="Other",C101-C106,IF($A$115="Other - ON",C103-C106,))</f>
        <v>0</v>
      </c>
      <c r="D125" s="171">
        <f t="shared" si="52"/>
        <v>0</v>
      </c>
      <c r="E125" s="171">
        <f t="shared" si="52"/>
        <v>0</v>
      </c>
      <c r="F125" s="171">
        <f t="shared" si="52"/>
        <v>0</v>
      </c>
      <c r="G125" s="519">
        <f t="shared" si="47"/>
        <v>0</v>
      </c>
      <c r="J125" s="168"/>
      <c r="K125" s="198"/>
      <c r="L125" s="198"/>
      <c r="M125" s="198"/>
      <c r="N125" s="198"/>
      <c r="O125" s="198"/>
      <c r="P125" s="168"/>
    </row>
    <row r="126" spans="1:16" ht="12.75" customHeight="1" x14ac:dyDescent="0.2">
      <c r="A126" s="164" t="s">
        <v>196</v>
      </c>
      <c r="B126" s="171">
        <f>IF($A$115="Research",B100-B107,IF($A$115="Research - ON",B102-B107,))</f>
        <v>0</v>
      </c>
      <c r="C126" s="171">
        <f t="shared" ref="C126:F126" si="53">IF($A$115="Research",C100-C107,IF($A$115="Research - ON",C102-C107,))</f>
        <v>0</v>
      </c>
      <c r="D126" s="171">
        <f t="shared" si="53"/>
        <v>0</v>
      </c>
      <c r="E126" s="171">
        <f t="shared" si="53"/>
        <v>0</v>
      </c>
      <c r="F126" s="171">
        <f t="shared" si="53"/>
        <v>0</v>
      </c>
      <c r="G126" s="519">
        <f t="shared" si="47"/>
        <v>0</v>
      </c>
      <c r="J126" s="168"/>
      <c r="K126" s="198"/>
      <c r="L126" s="198"/>
      <c r="M126" s="198"/>
      <c r="N126" s="198"/>
      <c r="O126" s="198"/>
      <c r="P126" s="168"/>
    </row>
    <row r="127" spans="1:16" ht="12.75" customHeight="1" x14ac:dyDescent="0.2">
      <c r="A127" s="164" t="s">
        <v>197</v>
      </c>
      <c r="B127" s="171">
        <f>IF($A$115="Other",B101-B107,IF($A$115="Other - ON",B103-B107,))</f>
        <v>0</v>
      </c>
      <c r="C127" s="171">
        <f t="shared" ref="C127:F127" si="54">IF($A$115="Other",C101-C107,IF($A$115="Other - ON",C103-C107,))</f>
        <v>0</v>
      </c>
      <c r="D127" s="171">
        <f t="shared" si="54"/>
        <v>0</v>
      </c>
      <c r="E127" s="171">
        <f t="shared" si="54"/>
        <v>0</v>
      </c>
      <c r="F127" s="171">
        <f t="shared" si="54"/>
        <v>0</v>
      </c>
      <c r="G127" s="519">
        <f t="shared" si="47"/>
        <v>0</v>
      </c>
      <c r="J127" s="168"/>
      <c r="K127" s="198"/>
      <c r="L127" s="198"/>
      <c r="M127" s="198"/>
      <c r="N127" s="198"/>
      <c r="O127" s="198"/>
      <c r="P127" s="168"/>
    </row>
    <row r="128" spans="1:16" ht="12.75" customHeight="1" x14ac:dyDescent="0.2">
      <c r="A128" s="164" t="s">
        <v>198</v>
      </c>
      <c r="B128" s="171">
        <f>IF($A$115="Research",B100-B108,IF($A$115="Research - ON",B102-B108,))</f>
        <v>0</v>
      </c>
      <c r="C128" s="171">
        <f t="shared" ref="C128:F128" si="55">IF($A$115="Research",C100-C108,IF($A$115="Research - ON",C102-C108,))</f>
        <v>0</v>
      </c>
      <c r="D128" s="171">
        <f t="shared" si="55"/>
        <v>0</v>
      </c>
      <c r="E128" s="171">
        <f t="shared" si="55"/>
        <v>0</v>
      </c>
      <c r="F128" s="171">
        <f t="shared" si="55"/>
        <v>0</v>
      </c>
      <c r="G128" s="519">
        <f t="shared" si="47"/>
        <v>0</v>
      </c>
      <c r="J128" s="168"/>
      <c r="K128" s="198"/>
      <c r="L128" s="198"/>
      <c r="M128" s="198"/>
      <c r="N128" s="198"/>
      <c r="O128" s="198"/>
      <c r="P128" s="168"/>
    </row>
    <row r="129" spans="1:39" ht="12.75" customHeight="1" x14ac:dyDescent="0.2">
      <c r="A129" s="164" t="s">
        <v>199</v>
      </c>
      <c r="B129" s="171">
        <f>IF($A$115="Other",B101-B108,IF($A$115="Other - ON",B103-B108,))</f>
        <v>0</v>
      </c>
      <c r="C129" s="171">
        <f t="shared" ref="C129:F129" si="56">IF($A$115="Other",C101-C108,IF($A$115="Other - ON",C103-C108,))</f>
        <v>0</v>
      </c>
      <c r="D129" s="171">
        <f t="shared" si="56"/>
        <v>0</v>
      </c>
      <c r="E129" s="171">
        <f t="shared" si="56"/>
        <v>0</v>
      </c>
      <c r="F129" s="171">
        <f t="shared" si="56"/>
        <v>0</v>
      </c>
      <c r="G129" s="519">
        <f t="shared" si="47"/>
        <v>0</v>
      </c>
      <c r="J129" s="168"/>
      <c r="K129" s="198"/>
      <c r="L129" s="198"/>
      <c r="M129" s="198"/>
      <c r="N129" s="198"/>
      <c r="O129" s="198"/>
      <c r="P129" s="168"/>
    </row>
    <row r="130" spans="1:39" ht="12.75" customHeight="1" x14ac:dyDescent="0.2">
      <c r="A130" s="164" t="s">
        <v>200</v>
      </c>
      <c r="B130" s="171">
        <f>IF($A$115="Research",B100-B109,IF($A$115="Research - ON",B102-B110,))</f>
        <v>0</v>
      </c>
      <c r="C130" s="171">
        <f t="shared" ref="C130:F130" si="57">IF($A$115="Research",C100-C109,IF($A$115="Research - ON",C102-C110,))</f>
        <v>0</v>
      </c>
      <c r="D130" s="171">
        <f t="shared" si="57"/>
        <v>0</v>
      </c>
      <c r="E130" s="171">
        <f t="shared" si="57"/>
        <v>0</v>
      </c>
      <c r="F130" s="171">
        <f t="shared" si="57"/>
        <v>0</v>
      </c>
      <c r="G130" s="519">
        <f t="shared" si="47"/>
        <v>0</v>
      </c>
      <c r="J130" s="168"/>
      <c r="K130" s="198"/>
      <c r="L130" s="198"/>
      <c r="M130" s="198"/>
      <c r="N130" s="198"/>
      <c r="O130" s="198"/>
      <c r="P130" s="168"/>
    </row>
    <row r="131" spans="1:39" ht="12.75" customHeight="1" x14ac:dyDescent="0.2">
      <c r="A131" s="164" t="s">
        <v>201</v>
      </c>
      <c r="B131" s="171">
        <f>IF($A$115="Other - ON",B103-B110,)</f>
        <v>0</v>
      </c>
      <c r="C131" s="171">
        <f t="shared" ref="C131:F131" si="58">IF($A$115="Other - ON",C103-C110,)</f>
        <v>0</v>
      </c>
      <c r="D131" s="171">
        <f t="shared" si="58"/>
        <v>0</v>
      </c>
      <c r="E131" s="171">
        <f t="shared" si="58"/>
        <v>0</v>
      </c>
      <c r="F131" s="171">
        <f t="shared" si="58"/>
        <v>0</v>
      </c>
      <c r="G131" s="519">
        <f t="shared" si="47"/>
        <v>0</v>
      </c>
      <c r="J131" s="168"/>
      <c r="K131" s="198"/>
      <c r="L131" s="198"/>
      <c r="M131" s="198"/>
      <c r="N131" s="198"/>
      <c r="O131" s="198"/>
      <c r="P131" s="168"/>
    </row>
    <row r="132" spans="1:39" ht="12.75" customHeight="1" x14ac:dyDescent="0.2">
      <c r="A132" s="164" t="s">
        <v>202</v>
      </c>
      <c r="B132" s="171">
        <f>IF($A$115="Research",B100-B111,IF($A$115="Research - ON",B102-B111,))</f>
        <v>0</v>
      </c>
      <c r="C132" s="171">
        <f t="shared" ref="C132:F132" si="59">IF($A$115="Research",C100-C111,IF($A$115="Research - ON",C102-C111,))</f>
        <v>0</v>
      </c>
      <c r="D132" s="171">
        <f t="shared" si="59"/>
        <v>0</v>
      </c>
      <c r="E132" s="171">
        <f t="shared" si="59"/>
        <v>0</v>
      </c>
      <c r="F132" s="171">
        <f t="shared" si="59"/>
        <v>0</v>
      </c>
      <c r="G132" s="519">
        <f t="shared" si="47"/>
        <v>0</v>
      </c>
      <c r="J132" s="168"/>
      <c r="K132" s="198"/>
      <c r="L132" s="198"/>
      <c r="M132" s="198"/>
      <c r="N132" s="198"/>
      <c r="O132" s="198"/>
      <c r="P132" s="168"/>
    </row>
    <row r="133" spans="1:39" ht="12.75" customHeight="1" x14ac:dyDescent="0.2">
      <c r="A133" s="164" t="s">
        <v>203</v>
      </c>
      <c r="B133" s="171">
        <f>IF($A$115="Other",B101-B111,IF($A$115="Other - ON",B103-B111,))</f>
        <v>0</v>
      </c>
      <c r="C133" s="171">
        <f t="shared" ref="C133:F133" si="60">IF($A$115="Other",C101-C111,IF($A$115="Other - ON",C103-C111,))</f>
        <v>0</v>
      </c>
      <c r="D133" s="171">
        <f t="shared" si="60"/>
        <v>0</v>
      </c>
      <c r="E133" s="171">
        <f t="shared" si="60"/>
        <v>0</v>
      </c>
      <c r="F133" s="171">
        <f t="shared" si="60"/>
        <v>0</v>
      </c>
      <c r="G133" s="519">
        <f t="shared" si="47"/>
        <v>0</v>
      </c>
      <c r="J133" s="168"/>
      <c r="K133" s="198"/>
      <c r="L133" s="198"/>
      <c r="M133" s="198"/>
      <c r="N133" s="198"/>
      <c r="O133" s="198"/>
      <c r="P133" s="168"/>
    </row>
    <row r="134" spans="1:39" ht="12.75" customHeight="1" x14ac:dyDescent="0.2">
      <c r="A134" s="164" t="s">
        <v>311</v>
      </c>
      <c r="B134" s="171">
        <f>IF($A$115="Research",B$100-B$112,IF($A$115="Research - ON",B$102-B$112,))</f>
        <v>0</v>
      </c>
      <c r="C134" s="171">
        <f>IF($A$115="Research",C$100-C$112,IF($A$115="Research - ON",C$102-C$112,))</f>
        <v>0</v>
      </c>
      <c r="D134" s="171">
        <f t="shared" ref="D134:F134" si="61">IF($A$115="Research",D$100-D$112,IF($A$115="Research - ON",D$102-D$112,))</f>
        <v>0</v>
      </c>
      <c r="E134" s="171">
        <f>IF($A$115="Research",E$100-E$112,IF($A$115="Research - ON",E$102-E$112,))</f>
        <v>0</v>
      </c>
      <c r="F134" s="171">
        <f t="shared" si="61"/>
        <v>0</v>
      </c>
      <c r="G134" s="518">
        <f>SUM(B134:F134)</f>
        <v>0</v>
      </c>
      <c r="J134" s="168"/>
      <c r="K134" s="198"/>
      <c r="L134" s="198"/>
      <c r="M134" s="198"/>
      <c r="N134" s="198"/>
      <c r="O134" s="198"/>
      <c r="P134" s="168"/>
    </row>
    <row r="135" spans="1:39" ht="12.75" customHeight="1" x14ac:dyDescent="0.2">
      <c r="A135" s="164" t="s">
        <v>312</v>
      </c>
      <c r="B135" s="171">
        <f>IF($A$115="Other",B$101-B$112,IF($A$115="Other - ON",B$103-B$112,))</f>
        <v>0</v>
      </c>
      <c r="C135" s="171">
        <f t="shared" ref="C135:F135" si="62">IF($A$115="Other",C$101-C$112,IF($A$115="Other - ON",C$103-C$112,))</f>
        <v>0</v>
      </c>
      <c r="D135" s="171">
        <f t="shared" si="62"/>
        <v>0</v>
      </c>
      <c r="E135" s="171">
        <f t="shared" si="62"/>
        <v>0</v>
      </c>
      <c r="F135" s="171">
        <f t="shared" si="62"/>
        <v>0</v>
      </c>
      <c r="G135" s="518">
        <f>SUM(B135:F135)</f>
        <v>0</v>
      </c>
      <c r="H135" s="168"/>
    </row>
    <row r="136" spans="1:39" ht="12.75" customHeight="1" x14ac:dyDescent="0.2">
      <c r="A136" s="107"/>
      <c r="B136" s="107"/>
      <c r="C136" s="107"/>
      <c r="D136" s="107"/>
      <c r="E136" s="107"/>
      <c r="F136" s="107"/>
      <c r="G136" s="107"/>
      <c r="H136" s="107"/>
    </row>
    <row r="137" spans="1:39" s="6" customFormat="1" ht="12.75" customHeight="1" thickBot="1" x14ac:dyDescent="0.25">
      <c r="A137" s="2" t="s">
        <v>204</v>
      </c>
      <c r="B137" s="5"/>
      <c r="C137" s="5"/>
      <c r="D137" s="5"/>
      <c r="E137" s="5"/>
      <c r="F137" s="5"/>
      <c r="G137" s="5"/>
      <c r="H137" s="5"/>
      <c r="I137" s="5"/>
      <c r="J137" s="5"/>
      <c r="K137" s="5"/>
      <c r="L137" s="5"/>
      <c r="M137" s="5"/>
      <c r="N137" s="5"/>
      <c r="O137" s="5"/>
      <c r="P137" s="5"/>
      <c r="Q137" s="5"/>
      <c r="R137" s="5"/>
      <c r="S137" s="5"/>
      <c r="T137" s="5"/>
      <c r="U137" s="106"/>
      <c r="V137" s="5"/>
      <c r="W137" s="5"/>
      <c r="X137" s="5"/>
      <c r="Y137" s="5"/>
      <c r="Z137" s="5"/>
      <c r="AA137" s="5"/>
      <c r="AB137" s="5"/>
      <c r="AC137" s="5"/>
      <c r="AD137" s="5"/>
      <c r="AE137" s="5"/>
      <c r="AF137" s="5"/>
      <c r="AG137" s="5"/>
      <c r="AH137" s="5"/>
      <c r="AI137" s="5"/>
      <c r="AJ137" s="5"/>
      <c r="AK137" s="5"/>
      <c r="AL137" s="5"/>
      <c r="AM137" s="5"/>
    </row>
    <row r="138" spans="1:39" s="6" customFormat="1" ht="13.5" customHeight="1" thickBot="1" x14ac:dyDescent="0.25">
      <c r="A138" s="18"/>
      <c r="B138" s="32"/>
      <c r="C138" s="33" t="s">
        <v>149</v>
      </c>
      <c r="D138" s="34"/>
      <c r="E138" s="35"/>
      <c r="F138" s="36"/>
      <c r="G138" s="35"/>
      <c r="H138" s="35"/>
      <c r="I138" s="37" t="s">
        <v>150</v>
      </c>
      <c r="J138" s="35"/>
      <c r="K138" s="35"/>
      <c r="L138" s="35"/>
      <c r="M138" s="38"/>
      <c r="N138" s="39" t="s">
        <v>151</v>
      </c>
      <c r="O138" s="40"/>
      <c r="P138" s="41"/>
      <c r="Q138" s="42"/>
      <c r="R138" s="35"/>
      <c r="S138" s="38"/>
      <c r="T138" s="5"/>
      <c r="U138" s="5"/>
      <c r="V138" s="5"/>
      <c r="W138" s="200"/>
      <c r="X138" s="159"/>
      <c r="Y138" s="5"/>
      <c r="Z138" s="62"/>
      <c r="AA138" s="5"/>
      <c r="AB138" s="5"/>
      <c r="AC138" s="106"/>
      <c r="AD138" s="5"/>
      <c r="AE138" s="5"/>
      <c r="AF138" s="5"/>
      <c r="AG138" s="5"/>
      <c r="AH138" s="201"/>
      <c r="AI138" s="58"/>
      <c r="AJ138" s="29"/>
      <c r="AK138" s="17"/>
      <c r="AL138" s="5"/>
      <c r="AM138" s="5"/>
    </row>
    <row r="139" spans="1:39" s="6" customFormat="1" x14ac:dyDescent="0.2">
      <c r="A139" s="18" t="s">
        <v>152</v>
      </c>
      <c r="B139" s="32" t="s">
        <v>153</v>
      </c>
      <c r="C139" s="43" t="s">
        <v>154</v>
      </c>
      <c r="D139" s="44" t="s">
        <v>155</v>
      </c>
      <c r="E139" s="45" t="s">
        <v>156</v>
      </c>
      <c r="F139" s="46" t="s">
        <v>157</v>
      </c>
      <c r="G139" s="46" t="s">
        <v>158</v>
      </c>
      <c r="H139" s="46" t="s">
        <v>159</v>
      </c>
      <c r="I139" s="43" t="s">
        <v>154</v>
      </c>
      <c r="J139" s="44" t="s">
        <v>155</v>
      </c>
      <c r="K139" s="45" t="s">
        <v>156</v>
      </c>
      <c r="L139" s="46" t="s">
        <v>157</v>
      </c>
      <c r="M139" s="47" t="s">
        <v>158</v>
      </c>
      <c r="N139" s="48" t="s">
        <v>160</v>
      </c>
      <c r="O139" s="49" t="s">
        <v>155</v>
      </c>
      <c r="P139" s="49" t="s">
        <v>156</v>
      </c>
      <c r="Q139" s="49" t="s">
        <v>157</v>
      </c>
      <c r="R139" s="49" t="s">
        <v>158</v>
      </c>
      <c r="S139" s="50" t="s">
        <v>159</v>
      </c>
      <c r="T139" s="5"/>
      <c r="U139" s="5"/>
      <c r="V139" s="5"/>
      <c r="W139" s="28"/>
      <c r="X139" s="71"/>
      <c r="Y139" s="72"/>
      <c r="Z139" s="28"/>
      <c r="AA139" s="28"/>
      <c r="AB139" s="28"/>
      <c r="AC139" s="28"/>
      <c r="AD139" s="71"/>
      <c r="AE139" s="72"/>
      <c r="AF139" s="28"/>
      <c r="AG139" s="28"/>
      <c r="AH139" s="17"/>
      <c r="AI139" s="17"/>
      <c r="AJ139" s="17"/>
      <c r="AK139" s="17"/>
      <c r="AL139" s="17"/>
      <c r="AM139" s="17"/>
    </row>
    <row r="140" spans="1:39" s="6" customFormat="1" x14ac:dyDescent="0.2">
      <c r="A140" s="18">
        <f>'Cost Share'!$A$9</f>
        <v>1</v>
      </c>
      <c r="B140" s="21">
        <f>(1+'Cost Share'!$J$9)</f>
        <v>1</v>
      </c>
      <c r="C140" s="24">
        <f>ROUND('Cost Share'!$C$9,0)</f>
        <v>0</v>
      </c>
      <c r="D140" s="51">
        <f>ROUND(IF($O$38=0,'Cost Share'!$C$9,'Cost Share'!$C$9*B140),0)</f>
        <v>0</v>
      </c>
      <c r="E140" s="51">
        <f>ROUND(IF($P$38=0,'Cost Share'!$C$9,IF($P$38=1,'Cost Share'!$C$9*B140,IF($P$38=2,'Cost Share'!$C$9*B140*B140))),0)</f>
        <v>0</v>
      </c>
      <c r="F140" s="51">
        <f>ROUND(IF($Q$38=0,'Cost Share'!$C$9,IF($Q$38=1,'Cost Share'!$C$9*B140,IF($Q$38=2,'Cost Share'!$C$9*B140*B140,IF($Q$38=3,'Cost Share'!$C$9*B140*B140*B140)))),0)</f>
        <v>0</v>
      </c>
      <c r="G140" s="51">
        <f>ROUND(IF($R$38=0,'Cost Share'!$C$9,IF($R$38=1,'Cost Share'!$C$9*B140,IF($R$38=2,'Cost Share'!$C$9*B140*B140,IF($R$38=3,'Cost Share'!$C$9*B140*B140*B140,IF($R$38=4,'Cost Share'!$C$9*B140*B140*B140*B140,IF($R$38=5,'Cost Share'!$C$9*B140*B140*B140*B140*B140)))))),0)</f>
        <v>0</v>
      </c>
      <c r="H140" s="51">
        <f>ROUND(IF($S$38=0,'Cost Share'!$C$9,IF($S$38=1,'Cost Share'!$C$9*B140,IF($S$38=2,'Cost Share'!$C$9*B140*B140,IF($S$38=3,'Cost Share'!$C$9*B140*B140*B140,IF($S$38=4,'Cost Share'!$C$9*B140*B140*B140*B140,IF($S$38=5,'Cost Share'!$C$9*B140*B140*B140*B140*B140,IF($S$38=6,'Cost Share'!$C$9*B140*B140*B140*B140*B140*B140))))))),0)</f>
        <v>0</v>
      </c>
      <c r="I140" s="24">
        <f>ROUND(IF($B$6=12,(C140*'Cost Share'!$D$9/12*Budget!$K$6),IF(Budget!$K$6-$B$6&lt;0,(D140*'Cost Share'!$D$9/12*Budget!$K$6),(D140*'Cost Share'!$D$9/12*$B$6)+(D140*'Cost Share'!$D$9/12*$B$7))),0)</f>
        <v>0</v>
      </c>
      <c r="J140" s="24">
        <f>ROUND(IF($C$6=12,(D140*'Cost Share'!$E$9/12*Budget!$L$6),IF(Budget!$L$6-$C$6&lt;0,(D140*'Cost Share'!$E$9/12*Budget!$L$6),(D140*'Cost Share'!$E$9/12*$C$6)+(E140*'Cost Share'!$E$9/12*$C$7))),0)</f>
        <v>0</v>
      </c>
      <c r="K140" s="24">
        <f>ROUND(IF($D$6=12,(E140*'Cost Share'!$F$9/12*Budget!$M$6),IF(Budget!$M$6-$D$6&lt;0,(E140*'Cost Share'!$F$9/12*Budget!$M$6),(E140*'Cost Share'!$F$9/12*$D$6)+(F140*'Cost Share'!$F$9/12*$D$7))),0)</f>
        <v>0</v>
      </c>
      <c r="L140" s="24">
        <f>ROUND(IF($E$6=12,(F140*'Cost Share'!$G$9/12*Budget!$N$6),IF(Budget!$N$6-$E$6&lt;0,(F140*'Cost Share'!$G$9/12*Budget!$N$6),(F140*'Cost Share'!$G$9/12*$E$6)+(F140*'Cost Share'!$G$9/12*$E$7))),0)</f>
        <v>0</v>
      </c>
      <c r="M140" s="25">
        <f>ROUND(IF($F$6=12,(G140*'Cost Share'!$H$9/12*Budget!$O$6),IF(Budget!$O$6-$F$6&lt;0,(G140*'Cost Share'!$H$9/12*Budget!$O$6),(G140*'Cost Share'!$H$9/12*$F$6)+(H140*'Cost Share'!$H$9/12*$F$7))),0)</f>
        <v>0</v>
      </c>
      <c r="N140" s="52">
        <f>IF($B$4=$B$10,$B$9,IF($B$4=$C$10,$C$9,IF($B$4=$D$10,$D$9,IF($B$4=$E$10,$E$9,IF($B$4=$F$10,$F$9,IF($B$4=$G$10,$G$9,IF($B$4=$H$10,$H$9,IF($B$4=$I$10,$I$9,IF($B$4=$J$10,$J$9,IF($B$4=$K$10,$K$9,IF($B$4=$L$10,$L$9,IF($B$4=$M$10,$M$9,IF($B$4=$N$10,$N$9,IF($B$4=$O$10,$O$9,IF($B$4=$P$10,$P$9,IF($B$4=$Q$10,$Q$9,IF($B$4=$R$10,$R$9,IF($B$4=$S$10,$S$9,IF($B$4=$T$10,$T$9,IF($B$4=$U$10,$U$9))))))))))))))))))))</f>
        <v>10</v>
      </c>
      <c r="O140" s="18">
        <f>IF($C$4=$B$10,$B$9,IF($C$4=$C$10,$C$9,IF($C$4=$D$10,$D$9,IF($C$4=$E$10,$E$9,IF($C$4=$F$10,$F$9,IF($C$4=$G$10,$G$9,IF($C$4=$H$10,$H$9,IF($C$4=$I$10,$I$9,IF($C$4=$J$10,$J$9,IF($C$4=$K$10,$K$9,IF($C$4=$L$10,$L$9,IF($C$4=$M$10,$M$9,IF($C$4=$N$10,$N$9,IF($C$4=$O$10,$O$9,IF($C$4=$P$10,$P$9,IF($C$4=$Q$10,$Q$9,IF($C$4=$R$10,$R$9,IF($C$4=$S$10,$S$9,IF($C$4=$T$10,$T$9,IF($C$4=$U$10,$U$9))))))))))))))))))))</f>
        <v>11</v>
      </c>
      <c r="P140" s="18">
        <f>IF($D$4=$B$10,$B$9,IF($D$4=$C$10,$C$9,IF($D$4=$D$10,$D$9,IF($D$4=$E$10,$E$9,IF($D$4=$F$10,$F$9,IF($D$4=$G$10,$G$9,IF($D$4=$H$10,$H$9,IF($D$4=$I$10,$I$9,IF($D$4=$J$10,$J$9,IF($D$4=$K$10,$K$9,IF($D$4=$L$10,$L$9,IF($D$4=$M$10,$M$9,IF($D$4=$N$10,$N$9,IF($D$4=$O$10,$O$9,IF($D$4=$P$10,$P$9,IF($D$4=$Q$10,$Q$9,IF($D$4=$R$10,$R$9,IF($D$4=$S$10,$S$9,IF($D$4=$T$10,$T$9,IF($D$4=$U$10,$U$9))))))))))))))))))))</f>
        <v>12</v>
      </c>
      <c r="Q140" s="18">
        <f>IF($E$4=$B$10,$B$9,IF($E$4=$C$10,$C$9,IF($E$4=$D$10,$D$9,IF($E$4=$E$10,$E$9,IF($E$4=$F$10,$F$9,IF($E$4=$G$10,$G$9,IF($E$4=$H$10,$H$9,IF($E$4=$I$10,$I$9,IF($E$4=$J$10,$J$9,IF($E$4=$K$10,$K$9,IF($E$4=$L$10,$L$9,IF($E$4=$M$10,$M$9,IF($E$4=$N$10,$N$9,IF($E$4=$O$10,$O$9,IF($E$4=$P$10,$P$9,IF($E$4=$Q$10,$Q$9,IF($E$4=$R$10,$R$9,IF($E$4=$S$10,$S$9,IF($E$4=$T$10,$T$9,IF($E$4=$U$10,$U$9))))))))))))))))))))</f>
        <v>13</v>
      </c>
      <c r="R140" s="18">
        <f>IF($F$4=$B$10,$B$9,IF($F$4=$C$10,$C$9,IF($F$4=$D$10,$D$9,IF($F$4=$E$10,$E$9,IF($F$4=$F$10,$F$9,IF($F$4=$G$10,$G$9,IF($F$4=$H$10,$H$9,IF($F$4=$I$10,$I$9,IF($F$4=$J$10,$J$9,IF($F$4=$K$10,$K$9,IF($F$4=$L$10,$L$9,IF($F$4=$M$10,$M$9,IF($F$4=$N$10,$N$9,IF($F$4=$O$10,$O$9,IF($F$4=$P$10,$P$9,IF($F$4=$Q$10,$Q$9,IF($F$4=$R$10,$R$9,IF($F$4=$S$10,$S$9,IF($F$4=$T$10,$T$9,IF($F$4=$U$10,$U$9))))))))))))))))))))</f>
        <v>14</v>
      </c>
      <c r="S140" s="53">
        <f>IF($G$4=$B$10,$B$9,IF($G$4=$C$10,$C$9,IF($G$4=$D$10,$D$9,IF($G$4=$E$10,$E$9,IF($G$4=$F$10,$F$9,IF($G$4=$G$10,$G$9,IF($G$4=$H$10,$H$9,IF($G$4=$I$10,$I$9,IF($G$4=$J$10,$J$9,IF($G$4=$K$10,$K$9,IF($G$4=$L$10,$L$9,IF($G$4=$M$10,$M$9,IF($G$4=$N$10,$N$9,IF($G$4=$O$10,$O$9,IF($G$4=$P$10,$P$9,IF($G$4=$Q$10,$Q$9,IF($G$4=$R$10,$R$9,IF($G$4=$S$10,$S$9,IF($G$4=$T$10,$T$9,IF($G$4=$U$10,$U$9))))))))))))))))))))</f>
        <v>15</v>
      </c>
      <c r="T140" s="5"/>
      <c r="U140" s="5"/>
      <c r="V140" s="118"/>
      <c r="W140" s="202"/>
      <c r="X140" s="156"/>
      <c r="Y140" s="156"/>
      <c r="Z140" s="156"/>
      <c r="AA140" s="156"/>
      <c r="AB140" s="156"/>
      <c r="AC140" s="156"/>
      <c r="AD140" s="156"/>
      <c r="AE140" s="156"/>
      <c r="AF140" s="156"/>
      <c r="AG140" s="156"/>
      <c r="AH140" s="5"/>
      <c r="AI140" s="5"/>
      <c r="AJ140" s="5"/>
      <c r="AK140" s="5"/>
      <c r="AL140" s="5"/>
      <c r="AM140" s="5"/>
    </row>
    <row r="141" spans="1:39" s="6" customFormat="1" ht="13.5" thickBot="1" x14ac:dyDescent="0.25">
      <c r="A141" s="18">
        <f>'Cost Share'!$A$10</f>
        <v>2</v>
      </c>
      <c r="B141" s="21">
        <f>(1+'Cost Share'!$J$10)</f>
        <v>1</v>
      </c>
      <c r="C141" s="24">
        <f>ROUND('Cost Share'!$C$10,0)</f>
        <v>0</v>
      </c>
      <c r="D141" s="51">
        <f>ROUND(IF($O$38=0,'Cost Share'!$C$10,'Cost Share'!$C$10*B141),0)</f>
        <v>0</v>
      </c>
      <c r="E141" s="51">
        <f>ROUND(IF($P$38=0,'Cost Share'!$C$10,IF($P$38=1,'Cost Share'!$C$10*B141,IF($P$38=2,'Cost Share'!$C$10*B141*B141))),0)</f>
        <v>0</v>
      </c>
      <c r="F141" s="51">
        <f>ROUND(IF($Q$38=0,'Cost Share'!$C$10,IF($Q$38=1,'Cost Share'!$C$10*B141,IF($Q$38=2,'Cost Share'!$C$10*B141*B141,IF($Q$38=3,'Cost Share'!$C$10*B141*B141*B141)))),0)</f>
        <v>0</v>
      </c>
      <c r="G141" s="51">
        <f>ROUND(IF($R$38=0,'Cost Share'!$C$10,IF($R$38=1,'Cost Share'!$C$10*B141,IF($R$38=2,'Cost Share'!$C$10*B141*B141,IF($R$38=3,'Cost Share'!$C$10*B141*B141*B141,IF($R$38=4,'Cost Share'!$C$10*B141*B141*B141*B141,IF($R$38=5,'Cost Share'!$C$10*B141*B141*B141*B141*B141)))))),0)</f>
        <v>0</v>
      </c>
      <c r="H141" s="51">
        <f>ROUND(IF($S$38=0,'Cost Share'!$C$10,IF($S$38=1,'Cost Share'!$C$10*B141,IF($S$38=2,'Cost Share'!$C$10*B141*B141,IF($S$38=3,'Cost Share'!$C$10*B141*B141*B141,IF($S$38=4,'Cost Share'!$C$10*B141*B141*B141*B141,IF($S$38=5,'Cost Share'!$C$10*B141*B141*B141*B141*B141,IF($S$38=6,'Cost Share'!$C$10*B141*B141*B141*B141*B141*B141))))))),0)</f>
        <v>0</v>
      </c>
      <c r="I141" s="24">
        <f>ROUND(IF($B$6=12,(C141*'Cost Share'!$D$10/12*Budget!$K$6),IF(Budget!$K$6-$B$6&lt;0,(D141*'Cost Share'!$D$10/12*Budget!$K$6),(D141*'Cost Share'!$D$10/12*$B$6)+(D141*'Cost Share'!$D$10/12*$B$7))),0)</f>
        <v>0</v>
      </c>
      <c r="J141" s="24">
        <f>ROUND(IF($C$6=12,(D141*'Cost Share'!$E$10/12*Budget!$L$6),IF(Budget!$L$6-$C$6&lt;0,(D141*'Cost Share'!$E$10/12*Budget!$L$6),(D141*'Cost Share'!$E$10/12*$C$6)+(E141*'Cost Share'!$E$10/12*$C$7))),0)</f>
        <v>0</v>
      </c>
      <c r="K141" s="24">
        <f>ROUND(IF($D$6=12,(E141*'Cost Share'!$F$10/12*Budget!$M$6),IF(Budget!$M$6-$D$6&lt;0,(E141*'Cost Share'!$F$10/12*Budget!$M$6),(E141*'Cost Share'!$F$10/12*$D$6)+(F141*'Cost Share'!$F$10/12*$D$7))),0)</f>
        <v>0</v>
      </c>
      <c r="L141" s="24">
        <f>ROUND(IF($E$6=12,(F141*'Cost Share'!$G$10/12*Budget!$N$6),IF(Budget!$N$6-$E$6&lt;0,(F141*'Cost Share'!$G$10/12*Budget!$N$6),(F141*'Cost Share'!$G$10/12*$E$6)+(F141*'Cost Share'!$G$10/12*$E$7))),0)</f>
        <v>0</v>
      </c>
      <c r="M141" s="25">
        <f>ROUND(IF($F$6=12,(G141*'Cost Share'!$H$10/12*Budget!$O$6),IF(Budget!$O$6-$F$6&lt;0,(G141*'Cost Share'!$H$10/12*Budget!$O$6),(G141*'Cost Share'!$H$10/12*$F$6)+(H141*'Cost Share'!$H$10/12*$F$7))),0)</f>
        <v>0</v>
      </c>
      <c r="N141" s="54"/>
      <c r="O141" s="55">
        <f>O140-$N$140</f>
        <v>1</v>
      </c>
      <c r="P141" s="56">
        <f>P140-$N$140</f>
        <v>2</v>
      </c>
      <c r="Q141" s="56">
        <f>Q140-$N$140</f>
        <v>3</v>
      </c>
      <c r="R141" s="56">
        <f>R140-$N$140</f>
        <v>4</v>
      </c>
      <c r="S141" s="57">
        <f>S140-$N$140</f>
        <v>5</v>
      </c>
      <c r="T141" s="5"/>
      <c r="U141" s="5"/>
      <c r="V141" s="118"/>
      <c r="W141" s="202"/>
      <c r="X141" s="156"/>
      <c r="Y141" s="156"/>
      <c r="Z141" s="156"/>
      <c r="AA141" s="156"/>
      <c r="AB141" s="156"/>
      <c r="AC141" s="156"/>
      <c r="AD141" s="156"/>
      <c r="AE141" s="156"/>
      <c r="AF141" s="156"/>
      <c r="AG141" s="156"/>
      <c r="AH141" s="5"/>
      <c r="AI141" s="203"/>
      <c r="AJ141" s="117"/>
      <c r="AK141" s="117"/>
      <c r="AL141" s="117"/>
      <c r="AM141" s="117"/>
    </row>
    <row r="142" spans="1:39" s="6" customFormat="1" x14ac:dyDescent="0.2">
      <c r="A142" s="18">
        <f>'Cost Share'!$A$11</f>
        <v>3</v>
      </c>
      <c r="B142" s="21">
        <f>(1+'Cost Share'!$J$11)</f>
        <v>1</v>
      </c>
      <c r="C142" s="24">
        <f>ROUND('Cost Share'!$C$11,0)</f>
        <v>0</v>
      </c>
      <c r="D142" s="51">
        <f>ROUND(IF($O$38=0,'Cost Share'!$C$11,'Cost Share'!$C$11*B142),0)</f>
        <v>0</v>
      </c>
      <c r="E142" s="51">
        <f>ROUND(IF($P$38=0,'Cost Share'!$C$11,IF($P$38=1,'Cost Share'!$C$11*B142,IF($P$38=2,'Cost Share'!$C$11*B142*B142))),0)</f>
        <v>0</v>
      </c>
      <c r="F142" s="51">
        <f>ROUND(IF($Q$38=0,'Cost Share'!$C$11,IF($Q$38=1,'Cost Share'!$C$11*B142,IF($Q$38=2,'Cost Share'!$C$11*B142*B142,IF($Q$38=3,'Cost Share'!$C$11*B142*B142*B142)))),0)</f>
        <v>0</v>
      </c>
      <c r="G142" s="51">
        <f>ROUND(IF($R$38=0,'Cost Share'!$C$11,IF($R$38=1,'Cost Share'!$C$11*B142,IF($R$38=2,'Cost Share'!$C$11*B142*B142,IF($R$38=3,'Cost Share'!$C$11*B142*B142*B142,IF($R$38=4,'Cost Share'!$C$11*B142*B142*B142*B142,IF($R$38=5,'Cost Share'!$C$11*B142*B142*B142*B142*B142)))))),0)</f>
        <v>0</v>
      </c>
      <c r="H142" s="51">
        <f>ROUND(IF($S$38=0,'Cost Share'!$C$11,IF($S$38=1,'Cost Share'!$C$11*B142,IF($S$38=2,'Cost Share'!$C$11*B142*B142,IF($S$38=3,'Cost Share'!$C$11*B142*B142*B142,IF($S$38=4,'Cost Share'!$C$11*B142*B142*B142*B142,IF($S$38=5,'Cost Share'!$C$11*B142*B142*B142*B142*B142,IF($S$38=6,'Cost Share'!$C$11*B142*B142*B142*B142*B142*B142))))))),0)</f>
        <v>0</v>
      </c>
      <c r="I142" s="24">
        <f>ROUND(IF($B$6=12,(C142*'Cost Share'!$D$11/12*Budget!$K$6),IF(Budget!$K$6-$B$6&lt;0,(D142*'Cost Share'!$D$11/12*Budget!$K$6),(D142*'Cost Share'!$D$11/12*$B$6)+(D142*'Cost Share'!$D$11/12*$B$7))),0)</f>
        <v>0</v>
      </c>
      <c r="J142" s="24">
        <f>ROUND(IF($C$6=12,(D142*'Cost Share'!$E$11/12*Budget!$L$6),IF(Budget!$L$6-$C$6&lt;0,(D142*'Cost Share'!$E$11/12*Budget!$L$6),(D142*'Cost Share'!$E$11/12*$C$6)+(E142*'Cost Share'!$E$11/12*$C$7))),0)</f>
        <v>0</v>
      </c>
      <c r="K142" s="24">
        <f>ROUND(IF($D$6=12,(E142*'Cost Share'!$F$11/12*Budget!$M$6),IF(Budget!$M$6-$D$6&lt;0,(E142*'Cost Share'!$F$11/12*Budget!$M$6),(E142*'Cost Share'!$F$11/12*$D$6)+(F142*'Cost Share'!$F$11/12*$D$7))),0)</f>
        <v>0</v>
      </c>
      <c r="L142" s="24">
        <f>ROUND(IF($E$6=12,(F142*'Cost Share'!$G$11/12*Budget!$N$6),IF(Budget!$N$6-$E$6&lt;0,(F142*'Cost Share'!$G$11/12*Budget!$N$6),(F142*'Cost Share'!$G$11/12*$E$6)+(F142*'Cost Share'!$G$11/12*$E$7))),0)</f>
        <v>0</v>
      </c>
      <c r="M142" s="25">
        <f>ROUND(IF($F$6=12,(G142*'Cost Share'!$H$11/12*Budget!$O$6),IF(Budget!$O$6-$F$6&lt;0,(G142*'Cost Share'!$H$11/12*Budget!$O$6),(G142*'Cost Share'!$H$11/12*$F$6)+(H142*'Cost Share'!$H$11/12*$F$7))),0)</f>
        <v>0</v>
      </c>
      <c r="N142" s="58"/>
      <c r="O142" s="29"/>
      <c r="P142" s="17"/>
      <c r="Q142" s="17"/>
      <c r="R142" s="59"/>
      <c r="S142" s="17"/>
      <c r="T142" s="5"/>
      <c r="U142" s="5"/>
      <c r="V142" s="118"/>
      <c r="W142" s="202"/>
      <c r="X142" s="156"/>
      <c r="Y142" s="156"/>
      <c r="Z142" s="156"/>
      <c r="AA142" s="156"/>
      <c r="AB142" s="156"/>
      <c r="AC142" s="156"/>
      <c r="AD142" s="156"/>
      <c r="AE142" s="156"/>
      <c r="AF142" s="156"/>
      <c r="AG142" s="156"/>
      <c r="AH142" s="58"/>
      <c r="AI142" s="29"/>
      <c r="AJ142" s="17"/>
      <c r="AK142" s="17"/>
      <c r="AL142" s="59"/>
      <c r="AM142" s="17"/>
    </row>
    <row r="143" spans="1:39" s="6" customFormat="1" x14ac:dyDescent="0.2">
      <c r="A143" s="18">
        <f>'Cost Share'!$A$12</f>
        <v>4</v>
      </c>
      <c r="B143" s="21">
        <f>(1+'Cost Share'!$J$12)</f>
        <v>1</v>
      </c>
      <c r="C143" s="24">
        <f>ROUND('Cost Share'!$C$12,0)</f>
        <v>0</v>
      </c>
      <c r="D143" s="51">
        <f>ROUND(IF($O$38=0,'Cost Share'!$C$12,'Cost Share'!$C$12*B143),0)</f>
        <v>0</v>
      </c>
      <c r="E143" s="51">
        <f>ROUND(IF($P$38=0,'Cost Share'!$C$12,IF($P$38=1,'Cost Share'!$C$12*B143,IF($P$38=2,'Cost Share'!$C$12*B143*B143))),0)</f>
        <v>0</v>
      </c>
      <c r="F143" s="51">
        <f>ROUND(IF($Q$38=0,'Cost Share'!$C$12,IF($Q$38=1,'Cost Share'!$C$12*B143,IF($Q$38=2,'Cost Share'!$C$12*B143*B143,IF($Q$38=3,'Cost Share'!$C$12*B143*B143*B143)))),0)</f>
        <v>0</v>
      </c>
      <c r="G143" s="51">
        <f>ROUND(IF($R$38=0,'Cost Share'!$C$12,IF($R$38=1,'Cost Share'!$C$12*B143,IF($R$38=2,'Cost Share'!$C$12*B143*B143,IF($R$38=3,'Cost Share'!$C$12*B143*B143*B143,IF($R$38=4,'Cost Share'!$C$12*B143*B143*B143*B143,IF($R$38=5,'Cost Share'!$C$12*B143*B143*B143*B143*B143)))))),0)</f>
        <v>0</v>
      </c>
      <c r="H143" s="51">
        <f>ROUND(IF($S$38=0,'Cost Share'!$C$12,IF($S$38=1,'Cost Share'!$C$12*B143,IF($S$38=2,'Cost Share'!$C$12*B143*B143,IF($S$38=3,'Cost Share'!$C$12*B143*B143*B143,IF($S$38=4,'Cost Share'!$C$12*B143*B143*B143*B143,IF($S$38=5,'Cost Share'!$C$12*B143*B143*B143*B143*B143,IF($S$38=6,'Cost Share'!$C$12*B143*B143*B143*B143*B143*B143))))))),0)</f>
        <v>0</v>
      </c>
      <c r="I143" s="24">
        <f>ROUND(IF($B$6=12,(C143*'Cost Share'!$D$12/12*Budget!$K$6),IF(Budget!$K$6-$B$6&lt;0,(D143*'Cost Share'!$D$12/12*Budget!$K$6),(D143*'Cost Share'!$D$12/12*$B$6)+(D143*'Cost Share'!$D$12/12*$B$7))),0)</f>
        <v>0</v>
      </c>
      <c r="J143" s="24">
        <f>ROUND(IF($C$6=12,(D143*'Cost Share'!$E$12/12*Budget!$L$6),IF(Budget!$L$6-$C$6&lt;0,(D143*'Cost Share'!$E$12/12*Budget!$L$6),(D143*'Cost Share'!$E$12/12*$C$6)+(E143*'Cost Share'!$E$12/12*$C$7))),0)</f>
        <v>0</v>
      </c>
      <c r="K143" s="24">
        <f>ROUND(IF($D$6=12,(E143*'Cost Share'!$F$12/12*Budget!$M$6),IF(Budget!$M$6-$D$6&lt;0,(E143*'Cost Share'!$F$12/12*Budget!$M$6),(E143*'Cost Share'!$F$12/12*$D$6)+(F143*'Cost Share'!$F$12/12*$D$7))),0)</f>
        <v>0</v>
      </c>
      <c r="L143" s="24">
        <f>ROUND(IF($E$6=12,(F143*'Cost Share'!$G$12/12*Budget!$N$6),IF(Budget!$N$6-$E$6&lt;0,(F143*'Cost Share'!$G$12/12*Budget!$N$6),(F143*'Cost Share'!$G$12/12*$E$6)+(F143*'Cost Share'!$G$12/12*$E$7))),0)</f>
        <v>0</v>
      </c>
      <c r="M143" s="25">
        <f>ROUND(IF($F$6=12,(G143*'Cost Share'!$H$12/12*Budget!$O$6),IF(Budget!$O$6-$F$6&lt;0,(G143*'Cost Share'!$H$12/12*Budget!$O$6),(G143*'Cost Share'!$H$12/12*$F$6)+(H143*'Cost Share'!$H$12/12*$F$7))),0)</f>
        <v>0</v>
      </c>
      <c r="N143" s="58"/>
      <c r="O143" s="29"/>
      <c r="P143" s="17"/>
      <c r="Q143" s="17"/>
      <c r="R143" s="59"/>
      <c r="S143" s="17"/>
      <c r="T143" s="5"/>
      <c r="U143" s="5"/>
      <c r="V143" s="118"/>
      <c r="W143" s="202"/>
      <c r="X143" s="156"/>
      <c r="Y143" s="156"/>
      <c r="Z143" s="156"/>
      <c r="AA143" s="156"/>
      <c r="AB143" s="156"/>
      <c r="AC143" s="156"/>
      <c r="AD143" s="156"/>
      <c r="AE143" s="156"/>
      <c r="AF143" s="156"/>
      <c r="AG143" s="156"/>
      <c r="AH143" s="58"/>
      <c r="AI143" s="29"/>
      <c r="AJ143" s="17"/>
      <c r="AK143" s="17"/>
      <c r="AL143" s="59"/>
      <c r="AM143" s="17"/>
    </row>
    <row r="144" spans="1:39" s="6" customFormat="1" x14ac:dyDescent="0.2">
      <c r="A144" s="18">
        <f>'Cost Share'!$A$13</f>
        <v>5</v>
      </c>
      <c r="B144" s="21">
        <f>(1+'Cost Share'!$J$13)</f>
        <v>1</v>
      </c>
      <c r="C144" s="24">
        <f>ROUND('Cost Share'!$C$13,0)</f>
        <v>0</v>
      </c>
      <c r="D144" s="51">
        <f>ROUND(IF($O$38=0,'Cost Share'!$C$13,'Cost Share'!$C$13*B144),0)</f>
        <v>0</v>
      </c>
      <c r="E144" s="51">
        <f>ROUND(IF($P$38=0,'Cost Share'!$C$13,IF($P$38=1,'Cost Share'!$C$13*B144,IF($P$38=2,'Cost Share'!$C$13*B144*B144))),0)</f>
        <v>0</v>
      </c>
      <c r="F144" s="51">
        <f>ROUND(IF($Q$38=0,'Cost Share'!$C$13,IF($Q$38=1,'Cost Share'!$C$13*B144,IF($Q$38=2,'Cost Share'!$C$13*B144*B144,IF($Q$38=3,'Cost Share'!$C$13*B144*B144*B144)))),0)</f>
        <v>0</v>
      </c>
      <c r="G144" s="51">
        <f>ROUND(IF($R$38=0,'Cost Share'!$C$13,IF($R$38=1,'Cost Share'!$C$13*B144,IF($R$38=2,'Cost Share'!$C$13*B144*B144,IF($R$38=3,'Cost Share'!$C$13*B144*B144*B144,IF($R$38=4,'Cost Share'!$C$13*B144*B144*B144*B144,IF($R$38=5,'Cost Share'!$C$13*B144*B144*B144*B144*B144)))))),0)</f>
        <v>0</v>
      </c>
      <c r="H144" s="51">
        <f>ROUND(IF($S$38=0,'Cost Share'!$C$13,IF($S$38=1,'Cost Share'!$C$13*B144,IF($S$38=2,'Cost Share'!$C$13*B144*B144,IF($S$38=3,'Cost Share'!$C$13*B144*B144*B144,IF($S$38=4,'Cost Share'!$C$13*B144*B144*B144*B144,IF($S$38=5,'Cost Share'!$C$13*B144*B144*B144*B144*B144,IF($S$38=6,'Cost Share'!$C$13*B144*B144*B144*B144*B144*B144))))))),0)</f>
        <v>0</v>
      </c>
      <c r="I144" s="24">
        <f>ROUND(IF($B$6=12,(C144*'Cost Share'!$D$13/12*Budget!$K$6),IF(Budget!$K$6-$B$6&lt;0,(D144*'Cost Share'!$D$13/12*Budget!$K$6),(D144*'Cost Share'!$D$13/12*$B$6)+(D144*'Cost Share'!$D$13/12*$B$7))),0)</f>
        <v>0</v>
      </c>
      <c r="J144" s="24">
        <f>ROUND(IF($C$6=12,(D144*'Cost Share'!$E$13/12*Budget!$L$6),IF(Budget!$L$6-$C$6&lt;0,(D144*'Cost Share'!$E$13/12*Budget!$L$6),(D144*'Cost Share'!$E$13/12*$C$6)+(E144*'Cost Share'!$E$13/12*$C$7))),0)</f>
        <v>0</v>
      </c>
      <c r="K144" s="24">
        <f>ROUND(IF($D$6=12,(E144*'Cost Share'!$F$13/12*Budget!$M$6),IF(Budget!$M$6-$D$6&lt;0,(E144*'Cost Share'!$F$13/12*Budget!$M$6),(E144*'Cost Share'!$F$13/12*$D$6)+(F144*'Cost Share'!$F$13/12*$D$7))),0)</f>
        <v>0</v>
      </c>
      <c r="L144" s="24">
        <f>ROUND(IF($E$6=12,(F144*'Cost Share'!$G$13/12*Budget!$N$6),IF(Budget!$N$6-$E$6&lt;0,(F144*'Cost Share'!$G$13/12*Budget!$N$6),(F144*'Cost Share'!$G$13/12*$E$6)+(F144*'Cost Share'!$G$13/12*$E$7))),0)</f>
        <v>0</v>
      </c>
      <c r="M144" s="25">
        <f>ROUND(IF($F$6=12,(G144*'Cost Share'!$H$13/12*Budget!$O$6),IF(Budget!$O$6-$F$6&lt;0,(G144*'Cost Share'!$H$13/12*Budget!$O$6),(G144*'Cost Share'!$H$13/12*$F$6)+(H144*'Cost Share'!$H$13/12*$F$7))),0)</f>
        <v>0</v>
      </c>
      <c r="N144" s="58"/>
      <c r="O144" s="29"/>
      <c r="P144" s="17"/>
      <c r="Q144" s="17"/>
      <c r="R144" s="59"/>
      <c r="S144" s="17"/>
      <c r="T144" s="5"/>
      <c r="U144" s="5"/>
      <c r="V144" s="118"/>
      <c r="W144" s="202"/>
      <c r="X144" s="156"/>
      <c r="Y144" s="156"/>
      <c r="Z144" s="156"/>
      <c r="AA144" s="156"/>
      <c r="AB144" s="156"/>
      <c r="AC144" s="156"/>
      <c r="AD144" s="156"/>
      <c r="AE144" s="156"/>
      <c r="AF144" s="156"/>
      <c r="AG144" s="156"/>
      <c r="AH144" s="58"/>
      <c r="AI144" s="29"/>
      <c r="AJ144" s="17"/>
      <c r="AK144" s="17"/>
      <c r="AL144" s="59"/>
      <c r="AM144" s="17"/>
    </row>
    <row r="145" spans="1:39" s="6" customFormat="1" x14ac:dyDescent="0.2">
      <c r="A145" s="18">
        <f>'Cost Share'!$A$14</f>
        <v>6</v>
      </c>
      <c r="B145" s="21">
        <f>(1+'Cost Share'!$J$14)</f>
        <v>1</v>
      </c>
      <c r="C145" s="24">
        <f>ROUND('Cost Share'!$C$14,0)</f>
        <v>0</v>
      </c>
      <c r="D145" s="51">
        <f>ROUND(IF($O$38=0,'Cost Share'!$C$14,'Cost Share'!$C$14*B145),0)</f>
        <v>0</v>
      </c>
      <c r="E145" s="51">
        <f>ROUND(IF($P$38=0,'Cost Share'!$C$14,IF($P$38=1,'Cost Share'!$C$14*B145,IF($P$38=2,'Cost Share'!$C$14*B145*B145))),0)</f>
        <v>0</v>
      </c>
      <c r="F145" s="51">
        <f>ROUND(IF($Q$38=0,'Cost Share'!$C$14,IF($Q$38=1,'Cost Share'!$C$14*B145,IF($Q$38=2,'Cost Share'!$C$14*B145*B145,IF($Q$38=3,'Cost Share'!$C$14*B145*B145*B145)))),0)</f>
        <v>0</v>
      </c>
      <c r="G145" s="51">
        <f>ROUND(IF($R$38=0,'Cost Share'!$C$14,IF($R$38=1,'Cost Share'!$C$14*B145,IF($R$38=2,'Cost Share'!$C$14*B145*B145,IF($R$38=3,'Cost Share'!$C$14*B145*B145*B145,IF($R$38=4,'Cost Share'!$C$14*B145*B145*B145*B145,IF($R$38=5,'Cost Share'!$C$14*B145*B145*B145*B145*B145)))))),0)</f>
        <v>0</v>
      </c>
      <c r="H145" s="51">
        <f>ROUND(IF($S$38=0,'Cost Share'!$C$14,IF($S$38=1,'Cost Share'!$C$14*B145,IF($S$38=2,'Cost Share'!$C$14*B145*B145,IF($S$38=3,'Cost Share'!$C$14*B145*B145*B145,IF($S$38=4,'Cost Share'!$C$14*B145*B145*B145*B145,IF($S$38=5,'Cost Share'!$C$14*B145*B145*B145*B145*B145,IF($S$38=6,'Cost Share'!$C$14*B145*B145*B145*B145*B145*B145))))))),0)</f>
        <v>0</v>
      </c>
      <c r="I145" s="24">
        <f>ROUND(IF($B$6=12,(C145*'Cost Share'!$D$14/12*Budget!$K$6),IF(Budget!$K$6-$B$6&lt;0,(D145*'Cost Share'!$D$14/12*Budget!$K$6),(D145*'Cost Share'!$D$14/12*$B$6)+(D145*'Cost Share'!$D$14/12*$B$7))),0)</f>
        <v>0</v>
      </c>
      <c r="J145" s="24">
        <f>ROUND(IF($C$6=12,(D145*'Cost Share'!$E$14/12*Budget!$L$6),IF(Budget!$L$6-$C$6&lt;0,(D145*'Cost Share'!$E$14/12*Budget!$L$6),(D145*'Cost Share'!$E$14/12*$C$6)+(E145*'Cost Share'!$E$14/12*$C$7))),0)</f>
        <v>0</v>
      </c>
      <c r="K145" s="24">
        <f>ROUND(IF($D$6=12,(E145*'Cost Share'!$F$14/12*Budget!$M$6),IF(Budget!$M$6-$D$6&lt;0,(E145*'Cost Share'!$F$14/12*Budget!$M$6),(E145*'Cost Share'!$F$14/12*$D$6)+(F145*'Cost Share'!$F$14/12*$D$7))),0)</f>
        <v>0</v>
      </c>
      <c r="L145" s="24">
        <f>ROUND(IF($E$6=12,(F145*'Cost Share'!$G$14/12*Budget!$N$6),IF(Budget!$N$6-$E$6&lt;0,(F145*'Cost Share'!$G$14/12*Budget!$N$6),(F145*'Cost Share'!$G$14/12*$E$6)+(F145*'Cost Share'!$G$14/12*$E$7))),0)</f>
        <v>0</v>
      </c>
      <c r="M145" s="25">
        <f>ROUND(IF($F$6=12,(G145*'Cost Share'!$H$14/12*Budget!$O$6),IF(Budget!$O$6-$F$6&lt;0,(G145*'Cost Share'!$H$14/12*Budget!$O$6),(G145*'Cost Share'!$H$14/12*$F$6)+(H145*'Cost Share'!$H$14/12*$F$7))),0)</f>
        <v>0</v>
      </c>
      <c r="N145" s="58"/>
      <c r="O145" s="29"/>
      <c r="P145" s="17"/>
      <c r="Q145" s="17"/>
      <c r="R145" s="59"/>
      <c r="S145" s="17"/>
      <c r="T145" s="5"/>
      <c r="U145" s="5"/>
      <c r="V145" s="118"/>
      <c r="W145" s="202"/>
      <c r="X145" s="156"/>
      <c r="Y145" s="156"/>
      <c r="Z145" s="156"/>
      <c r="AA145" s="156"/>
      <c r="AB145" s="156"/>
      <c r="AC145" s="156"/>
      <c r="AD145" s="156"/>
      <c r="AE145" s="156"/>
      <c r="AF145" s="156"/>
      <c r="AG145" s="156"/>
      <c r="AH145" s="58"/>
      <c r="AI145" s="29"/>
      <c r="AJ145" s="17"/>
      <c r="AK145" s="17"/>
      <c r="AL145" s="59"/>
      <c r="AM145" s="17"/>
    </row>
    <row r="146" spans="1:39" s="6" customFormat="1" x14ac:dyDescent="0.2">
      <c r="A146" s="18">
        <f>'Cost Share'!$A$15</f>
        <v>7</v>
      </c>
      <c r="B146" s="21">
        <f>(1+'Cost Share'!$J$15)</f>
        <v>1</v>
      </c>
      <c r="C146" s="24">
        <f>ROUND('Cost Share'!$C$15,0)</f>
        <v>0</v>
      </c>
      <c r="D146" s="51">
        <f>ROUND(IF($O$38=0,'Cost Share'!$C$15,'Cost Share'!$C$15*B146),0)</f>
        <v>0</v>
      </c>
      <c r="E146" s="51">
        <f>ROUND(IF($P$38=0,'Cost Share'!$C$15,IF($P$38=1,'Cost Share'!$C$15*B146,IF($P$38=2,'Cost Share'!$C$15*B146*B146))),0)</f>
        <v>0</v>
      </c>
      <c r="F146" s="51">
        <f>ROUND(IF($Q$38=0,'Cost Share'!$C$15,IF($Q$38=1,'Cost Share'!$C$15*B146,IF($Q$38=2,'Cost Share'!$C$15*B146*B146,IF($Q$38=3,'Cost Share'!$C$15*B146*B146*B146)))),0)</f>
        <v>0</v>
      </c>
      <c r="G146" s="51">
        <f>ROUND(IF($R$38=0,'Cost Share'!$C$15,IF($R$38=1,'Cost Share'!$C$15*B146,IF($R$38=2,'Cost Share'!$C$15*B146*B146,IF($R$38=3,'Cost Share'!$C$15*B146*B146*B146,IF($R$38=4,'Cost Share'!$C$15*B146*B146*B146*B146,IF($R$38=5,'Cost Share'!$C$15*B146*B146*B146*B146*B146)))))),0)</f>
        <v>0</v>
      </c>
      <c r="H146" s="51">
        <f>ROUND(IF($S$38=0,'Cost Share'!$C$15,IF($S$38=1,'Cost Share'!$C$15*B146,IF($S$38=2,'Cost Share'!$C$15*B146*B146,IF($S$38=3,'Cost Share'!$C$15*B146*B146*B146,IF($S$38=4,'Cost Share'!$C$15*B146*B146*B146*B146,IF($S$38=5,'Cost Share'!$C$15*B146*B146*B146*B146*B146,IF($S$38=6,'Cost Share'!$C$15*B146*B146*B146*B146*B146*B146))))))),0)</f>
        <v>0</v>
      </c>
      <c r="I146" s="24">
        <f>ROUND(IF($B$6=12,(C146*'Cost Share'!$D$15/12*Budget!$K$6),IF(Budget!$K$6-$B$6&lt;0,(D146*'Cost Share'!$D$15/12*Budget!$K$6),(D146*'Cost Share'!$D$15/12*$B$6)+(D146*'Cost Share'!$D$15/12*$B$7))),0)</f>
        <v>0</v>
      </c>
      <c r="J146" s="24">
        <f>ROUND(IF($C$6=12,(D146*'Cost Share'!$E$15/12*Budget!$L$6),IF(Budget!$L$6-$C$6&lt;0,(D146*'Cost Share'!$E$15/12*Budget!$L$6),(D146*'Cost Share'!$E$15/12*$C$6)+(E146*'Cost Share'!$E$15/12*$C$7))),0)</f>
        <v>0</v>
      </c>
      <c r="K146" s="24">
        <f>ROUND(IF($D$6=12,(E146*'Cost Share'!$F$15/12*Budget!$M$6),IF(Budget!$M$6-$D$6&lt;0,(E146*'Cost Share'!$F$15/12*Budget!$M$6),(E146*'Cost Share'!$F$15/12*$D$6)+(F146*'Cost Share'!$F$15/12*$D$7))),0)</f>
        <v>0</v>
      </c>
      <c r="L146" s="24">
        <f>ROUND(IF($E$6=12,(F146*'Cost Share'!$G$15/12*Budget!$N$6),IF(Budget!$N$6-$E$6&lt;0,(F146*'Cost Share'!$G$15/12*Budget!$N$6),(F146*'Cost Share'!$G$15/12*$E$6)+(F146*'Cost Share'!$G$15/12*$E$7))),0)</f>
        <v>0</v>
      </c>
      <c r="M146" s="25">
        <f>ROUND(IF($F$6=12,(G146*'Cost Share'!$H$15/12*Budget!$O$6),IF(Budget!$O$6-$F$6&lt;0,(G146*'Cost Share'!$H$15/12*Budget!$O$6),(G146*'Cost Share'!$H$15/12*$F$6)+(H146*'Cost Share'!$H$15/12*$F$7))),0)</f>
        <v>0</v>
      </c>
      <c r="N146" s="58"/>
      <c r="O146" s="29"/>
      <c r="P146" s="17"/>
      <c r="Q146" s="17"/>
      <c r="R146" s="59"/>
      <c r="S146" s="17"/>
      <c r="T146" s="5"/>
      <c r="U146" s="5"/>
      <c r="V146" s="118"/>
      <c r="W146" s="202"/>
      <c r="X146" s="156"/>
      <c r="Y146" s="156"/>
      <c r="Z146" s="156"/>
      <c r="AA146" s="156"/>
      <c r="AB146" s="156"/>
      <c r="AC146" s="156"/>
      <c r="AD146" s="156"/>
      <c r="AE146" s="156"/>
      <c r="AF146" s="156"/>
      <c r="AG146" s="156"/>
      <c r="AH146" s="58"/>
      <c r="AI146" s="29"/>
      <c r="AJ146" s="17"/>
      <c r="AK146" s="17"/>
      <c r="AL146" s="59"/>
      <c r="AM146" s="17"/>
    </row>
    <row r="147" spans="1:39" s="6" customFormat="1" x14ac:dyDescent="0.2">
      <c r="A147" s="18">
        <f>'Cost Share'!$A$16</f>
        <v>8</v>
      </c>
      <c r="B147" s="21">
        <f>(1+'Cost Share'!$J$16)</f>
        <v>1</v>
      </c>
      <c r="C147" s="24">
        <f>ROUND('Cost Share'!$C$16,0)</f>
        <v>0</v>
      </c>
      <c r="D147" s="51">
        <f>ROUND(IF($O$38=0,'Cost Share'!$C$16,'Cost Share'!$C$16*B147),0)</f>
        <v>0</v>
      </c>
      <c r="E147" s="51">
        <f>ROUND(IF($P$38=0,'Cost Share'!$C$16,IF($P$38=1,'Cost Share'!$C$16*B147,IF($P$38=2,'Cost Share'!$C$16*B147*B147))),0)</f>
        <v>0</v>
      </c>
      <c r="F147" s="51">
        <f>ROUND(IF($Q$38=0,'Cost Share'!$C$16,IF($Q$38=1,'Cost Share'!$C$16*B147,IF($Q$38=2,'Cost Share'!$C$16*B147*B147,IF($Q$38=3,'Cost Share'!$C$16*B147*B147*B147)))),0)</f>
        <v>0</v>
      </c>
      <c r="G147" s="51">
        <f>ROUND(IF($R$38=0,'Cost Share'!$C$16,IF($R$38=1,'Cost Share'!$C$16*B147,IF($R$38=2,'Cost Share'!$C$16*B147*B147,IF($R$38=3,'Cost Share'!$C$16*B147*B147*B147,IF($R$38=4,'Cost Share'!$C$16*B147*B147*B147*B147,IF($R$38=5,'Cost Share'!$C$16*B147*B147*B147*B147*B147)))))),0)</f>
        <v>0</v>
      </c>
      <c r="H147" s="51">
        <f>ROUND(IF($S$38=0,'Cost Share'!$C$16,IF($S$38=1,'Cost Share'!$C$16*B147,IF($S$38=2,'Cost Share'!$C$16*B147*B147,IF($S$38=3,'Cost Share'!$C$16*B147*B147*B147,IF($S$38=4,'Cost Share'!$C$16*B147*B147*B147*B147,IF($S$38=5,'Cost Share'!$C$16*B147*B147*B147*B147*B147,IF($S$38=6,'Cost Share'!$C$16*B147*B147*B147*B147*B147*B147))))))),0)</f>
        <v>0</v>
      </c>
      <c r="I147" s="24">
        <f>ROUND(IF($B$6=12,(C147*'Cost Share'!$D$16/12*Budget!$K$6),IF(Budget!$K$6-$B$6&lt;0,(D147*'Cost Share'!$D$16/12*Budget!$K$6),(D147*'Cost Share'!$D$16/12*$B$6)+(D147*'Cost Share'!$D$16/12*$B$7))),0)</f>
        <v>0</v>
      </c>
      <c r="J147" s="24">
        <f>ROUND(IF($C$6=12,(D147*'Cost Share'!$E$16/12*Budget!$L$6),IF(Budget!$L$6-$C$6&lt;0,(D147*'Cost Share'!$E$16/12*Budget!$L$6),(D147*'Cost Share'!$E$16/12*$C$6)+(E147*'Cost Share'!$E$16/12*$C$7))),0)</f>
        <v>0</v>
      </c>
      <c r="K147" s="24">
        <f>ROUND(IF($D$6=12,(E147*'Cost Share'!$F$16/12*Budget!$M$6),IF(Budget!$M$6-$D$6&lt;0,(E147*'Cost Share'!$F$16/12*Budget!$M$6),(E147*'Cost Share'!$F$16/12*$D$6)+(F147*'Cost Share'!$F$16/12*$D$7))),0)</f>
        <v>0</v>
      </c>
      <c r="L147" s="24">
        <f>ROUND(IF($E$6=12,(F147*'Cost Share'!$G$16/12*Budget!$N$6),IF(Budget!$N$6-$E$6&lt;0,(F147*'Cost Share'!$G$16/12*Budget!$N$6),(F147*'Cost Share'!$G$16/12*$E$6)+(F147*'Cost Share'!$G$16/12*$E$7))),0)</f>
        <v>0</v>
      </c>
      <c r="M147" s="25">
        <f>ROUND(IF($F$6=12,(G147*'Cost Share'!$H$16/12*Budget!$O$6),IF(Budget!$O$6-$F$6&lt;0,(G147*'Cost Share'!$H$16/12*Budget!$O$6),(G147*'Cost Share'!$H$16/12*$F$6)+(H147*'Cost Share'!$H$16/12*$F$7))),0)</f>
        <v>0</v>
      </c>
      <c r="N147" s="58"/>
      <c r="O147" s="29"/>
      <c r="P147" s="17"/>
      <c r="Q147" s="17"/>
      <c r="R147" s="59"/>
      <c r="S147" s="17"/>
      <c r="T147" s="5"/>
      <c r="U147" s="5"/>
      <c r="V147" s="118"/>
      <c r="W147" s="202"/>
      <c r="X147" s="156"/>
      <c r="Y147" s="156"/>
      <c r="Z147" s="156"/>
      <c r="AA147" s="156"/>
      <c r="AB147" s="156"/>
      <c r="AC147" s="156"/>
      <c r="AD147" s="156"/>
      <c r="AE147" s="156"/>
      <c r="AF147" s="156"/>
      <c r="AG147" s="156"/>
      <c r="AH147" s="58"/>
      <c r="AI147" s="29"/>
      <c r="AJ147" s="17"/>
      <c r="AK147" s="17"/>
      <c r="AL147" s="59"/>
      <c r="AM147" s="17"/>
    </row>
    <row r="148" spans="1:39" s="6" customFormat="1" x14ac:dyDescent="0.2">
      <c r="A148" s="18">
        <f>'Cost Share'!$A$17</f>
        <v>9</v>
      </c>
      <c r="B148" s="21">
        <f>(1+'Cost Share'!$J$17)</f>
        <v>1</v>
      </c>
      <c r="C148" s="24">
        <f>ROUND('Cost Share'!$C$17,0)</f>
        <v>0</v>
      </c>
      <c r="D148" s="51">
        <f>ROUND(IF($O$38=0,'Cost Share'!$C$17,'Cost Share'!$C$17*B148),0)</f>
        <v>0</v>
      </c>
      <c r="E148" s="51">
        <f>ROUND(IF($P$38=0,'Cost Share'!$C$17,IF($P$38=1,'Cost Share'!$C$17*B148,IF($P$38=2,'Cost Share'!$C$17*B148*B148))),0)</f>
        <v>0</v>
      </c>
      <c r="F148" s="51">
        <f>ROUND(IF($Q$38=0,'Cost Share'!$C$17,IF($Q$38=1,'Cost Share'!$C$17*B148,IF($Q$38=2,'Cost Share'!$C$17*B148*B148,IF($Q$38=3,'Cost Share'!$C$17*B148*B148*B148)))),0)</f>
        <v>0</v>
      </c>
      <c r="G148" s="51">
        <f>ROUND(IF($R$38=0,'Cost Share'!$C$17,IF($R$38=1,'Cost Share'!$C$17*B148,IF($R$38=2,'Cost Share'!$C$17*B148*B148,IF($R$38=3,'Cost Share'!$C$17*B148*B148*B148,IF($R$38=4,'Cost Share'!$C$17*B148*B148*B148*B148,IF($R$38=5,'Cost Share'!$C$17*B148*B148*B148*B148*B148)))))),0)</f>
        <v>0</v>
      </c>
      <c r="H148" s="51">
        <f>ROUND(IF($S$38=0,'Cost Share'!$C$17,IF($S$38=1,'Cost Share'!$C$17*B148,IF($S$38=2,'Cost Share'!$C$17*B148*B148,IF($S$38=3,'Cost Share'!$C$17*B148*B148*B148,IF($S$38=4,'Cost Share'!$C$17*B148*B148*B148*B148,IF($S$38=5,'Cost Share'!$C$17*B148*B148*B148*B148*B148,IF($S$38=6,'Cost Share'!$C$17*B148*B148*B148*B148*B148*B148))))))),0)</f>
        <v>0</v>
      </c>
      <c r="I148" s="24">
        <f>ROUND(IF($B$6=12,(C148*'Cost Share'!$D$17/12*Budget!$K$6),IF(Budget!$K$6-$B$6&lt;0,(D148*'Cost Share'!$D$17/12*Budget!$K$6),(D148*'Cost Share'!$D$17/12*$B$6)+(D148*'Cost Share'!$D$17/12*$B$7))),0)</f>
        <v>0</v>
      </c>
      <c r="J148" s="24">
        <f>ROUND(IF($C$6=12,(D148*'Cost Share'!$E$17/12*Budget!$L$6),IF(Budget!$L$6-$C$6&lt;0,(D148*'Cost Share'!$E$17/12*Budget!$L$6),(D148*'Cost Share'!$E$17/12*$C$6)+(E148*'Cost Share'!$E$17/12*$C$7))),0)</f>
        <v>0</v>
      </c>
      <c r="K148" s="24">
        <f>ROUND(IF($D$6=12,(E148*'Cost Share'!$F$17/12*Budget!$M$6),IF(Budget!$M$6-$D$6&lt;0,(E148*'Cost Share'!$F$17/12*Budget!$M$6),(E148*'Cost Share'!$F$17/12*$D$6)+(F148*'Cost Share'!$F$17/12*$D$7))),0)</f>
        <v>0</v>
      </c>
      <c r="L148" s="24">
        <f>ROUND(IF($E$6=12,(F148*'Cost Share'!$G$17/12*Budget!$N$6),IF(Budget!$N$6-$E$6&lt;0,(F148*'Cost Share'!$G$17/12*Budget!$N$6),(F148*'Cost Share'!$G$17/12*$E$6)+(F148*'Cost Share'!$G$17/12*$E$7))),0)</f>
        <v>0</v>
      </c>
      <c r="M148" s="25">
        <f>ROUND(IF($F$6=12,(G148*'Cost Share'!$H$17/12*Budget!$O$6),IF(Budget!$O$6-$F$6&lt;0,(G148*'Cost Share'!$H$17/12*Budget!$O$6),(G148*'Cost Share'!$H$17/12*$F$6)+(H148*'Cost Share'!$H$17/12*$F$7))),0)</f>
        <v>0</v>
      </c>
      <c r="N148" s="58"/>
      <c r="O148" s="29"/>
      <c r="P148" s="17"/>
      <c r="Q148" s="17"/>
      <c r="R148" s="59"/>
      <c r="S148" s="17"/>
      <c r="T148" s="5"/>
      <c r="U148" s="5"/>
      <c r="V148" s="118"/>
      <c r="W148" s="202"/>
      <c r="X148" s="156"/>
      <c r="Y148" s="156"/>
      <c r="Z148" s="156"/>
      <c r="AA148" s="156"/>
      <c r="AB148" s="156"/>
      <c r="AC148" s="156"/>
      <c r="AD148" s="156"/>
      <c r="AE148" s="156"/>
      <c r="AF148" s="156"/>
      <c r="AG148" s="156"/>
      <c r="AH148" s="58"/>
      <c r="AI148" s="29"/>
      <c r="AJ148" s="17"/>
      <c r="AK148" s="17"/>
      <c r="AL148" s="59"/>
      <c r="AM148" s="17"/>
    </row>
    <row r="149" spans="1:39" s="6" customFormat="1" x14ac:dyDescent="0.2">
      <c r="A149" s="18">
        <f>'Cost Share'!$A$18</f>
        <v>10</v>
      </c>
      <c r="B149" s="21">
        <f>(1+'Cost Share'!$J$18)</f>
        <v>1</v>
      </c>
      <c r="C149" s="24">
        <f>ROUND('Cost Share'!$C$18,0)</f>
        <v>0</v>
      </c>
      <c r="D149" s="51">
        <f>ROUND(IF($O$38=0,'Cost Share'!$C$18,'Cost Share'!$C$18*B149),0)</f>
        <v>0</v>
      </c>
      <c r="E149" s="51">
        <f>ROUND(IF($P$38=0,'Cost Share'!$C$18,IF($P$38=1,'Cost Share'!$C$18*B149,IF($P$38=2,'Cost Share'!$C$18*B149*B149))),0)</f>
        <v>0</v>
      </c>
      <c r="F149" s="51">
        <f>ROUND(IF($Q$38=0,'Cost Share'!$C$18,IF($Q$38=1,'Cost Share'!$C$18*B149,IF($Q$38=2,'Cost Share'!$C$18*B149*B149,IF($Q$38=3,'Cost Share'!$C$18*B149*B149*B149)))),0)</f>
        <v>0</v>
      </c>
      <c r="G149" s="51">
        <f>ROUND(IF($R$38=0,'Cost Share'!$C$18,IF($R$38=1,'Cost Share'!$C$18*B149,IF($R$38=2,'Cost Share'!$C$18*B149*B149,IF($R$38=3,'Cost Share'!$C$18*B149*B149*B149,IF($R$38=4,'Cost Share'!$C$18*B149*B149*B149*B149,IF($R$38=5,'Cost Share'!$C$18*B149*B149*B149*B149*B149)))))),0)</f>
        <v>0</v>
      </c>
      <c r="H149" s="51">
        <f>ROUND(IF($S$38=0,'Cost Share'!$C$18,IF($S$38=1,'Cost Share'!$C$18*B149,IF($S$38=2,'Cost Share'!$C$18*B149*B149,IF($S$38=3,'Cost Share'!$C$18*B149*B149*B149,IF($S$38=4,'Cost Share'!$C$18*B149*B149*B149*B149,IF($S$38=5,'Cost Share'!$C$18*B149*B149*B149*B149*B149,IF($S$38=6,'Cost Share'!$C$18*B149*B149*B149*B149*B149*B149))))))),0)</f>
        <v>0</v>
      </c>
      <c r="I149" s="24">
        <f>ROUND(IF($B$6=12,(C149*'Cost Share'!$D$18/12*Budget!$K$6),IF(Budget!$K$6-$B$6&lt;0,(D149*'Cost Share'!$D$18/12*Budget!$K$6),(D149*'Cost Share'!$D$18/12*$B$6)+(D149*'Cost Share'!$D$18/12*$B$7))),0)</f>
        <v>0</v>
      </c>
      <c r="J149" s="24">
        <f>ROUND(IF($C$6=12,(D149*'Cost Share'!$E$18/12*Budget!$L$6),IF(Budget!$L$6-$C$6&lt;0,(D149*'Cost Share'!$E$18/12*Budget!$L$6),(D149*'Cost Share'!$E$18/12*$C$6)+(E149*'Cost Share'!$E$18/12*$C$7))),0)</f>
        <v>0</v>
      </c>
      <c r="K149" s="24">
        <f>ROUND(IF($D$6=12,(E149*'Cost Share'!$F$18/12*Budget!$M$6),IF(Budget!$M$6-$D$6&lt;0,(E149*'Cost Share'!$F$18/12*Budget!$M$6),(E149*'Cost Share'!$F$18/12*$D$6)+(F149*'Cost Share'!$F$18/12*$D$7))),0)</f>
        <v>0</v>
      </c>
      <c r="L149" s="24">
        <f>ROUND(IF($E$6=12,(F149*'Cost Share'!$G$18/12*Budget!$N$6),IF(Budget!$N$6-$E$6&lt;0,(F149*'Cost Share'!$G$18/12*Budget!$N$6),(F149*'Cost Share'!$G$18/12*$E$6)+(F149*'Cost Share'!$G$18/12*$E$7))),0)</f>
        <v>0</v>
      </c>
      <c r="M149" s="25">
        <f>ROUND(IF($F$6=12,(G149*'Cost Share'!$H$18/12*Budget!$O$6),IF(Budget!$O$6-$F$6&lt;0,(G149*'Cost Share'!$H$18/12*Budget!$O$6),(G149*'Cost Share'!$H$18/12*$F$6)+(H149*'Cost Share'!$H$18/12*$F$7))),0)</f>
        <v>0</v>
      </c>
      <c r="N149" s="58"/>
      <c r="O149" s="29"/>
      <c r="P149" s="17"/>
      <c r="Q149" s="17"/>
      <c r="R149" s="59"/>
      <c r="S149" s="17"/>
      <c r="T149" s="5"/>
      <c r="U149" s="5"/>
      <c r="V149" s="118"/>
      <c r="W149" s="202"/>
      <c r="X149" s="156"/>
      <c r="Y149" s="156"/>
      <c r="Z149" s="156"/>
      <c r="AA149" s="156"/>
      <c r="AB149" s="156"/>
      <c r="AC149" s="156"/>
      <c r="AD149" s="156"/>
      <c r="AE149" s="156"/>
      <c r="AF149" s="156"/>
      <c r="AG149" s="156"/>
      <c r="AH149" s="58"/>
      <c r="AI149" s="29"/>
      <c r="AJ149" s="17"/>
      <c r="AK149" s="17"/>
      <c r="AL149" s="59"/>
      <c r="AM149" s="17"/>
    </row>
    <row r="150" spans="1:39" s="6" customFormat="1" x14ac:dyDescent="0.2">
      <c r="A150" s="18">
        <f>'Cost Share'!$A$19</f>
        <v>11</v>
      </c>
      <c r="B150" s="21">
        <f>(1+'Cost Share'!$J$19)</f>
        <v>1</v>
      </c>
      <c r="C150" s="24">
        <f>ROUND('Cost Share'!$C$19,0)</f>
        <v>0</v>
      </c>
      <c r="D150" s="51">
        <f>ROUND(IF($O$38=0,'Cost Share'!$C$19,'Cost Share'!$C$19*B150),0)</f>
        <v>0</v>
      </c>
      <c r="E150" s="51">
        <f>ROUND(IF($P$38=0,'Cost Share'!$C$19,IF($P$38=1,'Cost Share'!$C$19*B150,IF($P$38=2,'Cost Share'!$C$19*B150*B150))),0)</f>
        <v>0</v>
      </c>
      <c r="F150" s="51">
        <f>ROUND(IF($Q$38=0,'Cost Share'!$C$19,IF($Q$38=1,'Cost Share'!$C$19*B150,IF($Q$38=2,'Cost Share'!$C$19*B150*B150,IF($Q$38=3,'Cost Share'!$C$19*B150*B150*B150)))),0)</f>
        <v>0</v>
      </c>
      <c r="G150" s="51">
        <f>ROUND(IF($R$38=0,'Cost Share'!$C$19,IF($R$38=1,'Cost Share'!$C$19*B150,IF($R$38=2,'Cost Share'!$C$19*B150*B150,IF($R$38=3,'Cost Share'!$C$19*B150*B150*B150,IF($R$38=4,'Cost Share'!$C$19*B150*B150*B150*B150,IF($R$38=5,'Cost Share'!$C$19*B150*B150*B150*B150*B150)))))),0)</f>
        <v>0</v>
      </c>
      <c r="H150" s="51">
        <f>ROUND(IF($S$38=0,'Cost Share'!$C$19,IF($S$38=1,'Cost Share'!$C$19*B150,IF($S$38=2,'Cost Share'!$C$19*B150*B150,IF($S$38=3,'Cost Share'!$C$19*B150*B150*B150,IF($S$38=4,'Cost Share'!$C$19*B150*B150*B150*B150,IF($S$38=5,'Cost Share'!$C$19*B150*B150*B150*B150*B150,IF($S$38=6,'Cost Share'!$C$19*B150*B150*B150*B150*B150*B150))))))),0)</f>
        <v>0</v>
      </c>
      <c r="I150" s="24">
        <f>ROUND(IF($B$6=12,(C150*'Cost Share'!$D$19/12*Budget!$K$6),IF(Budget!$K$6-$B$6&lt;0,(D150*'Cost Share'!$D$19/12*Budget!$K$6),(D150*'Cost Share'!$D$19/12*$B$6)+(D150*'Cost Share'!$D$19/12*$B$7))),0)</f>
        <v>0</v>
      </c>
      <c r="J150" s="24">
        <f>ROUND(IF($C$6=12,(D150*'Cost Share'!$E$19/12*Budget!$L$6),IF(Budget!$L$6-$C$6&lt;0,(D150*'Cost Share'!$E$19/12*Budget!$L$6),(D150*'Cost Share'!$E$19/12*$C$6)+(E150*'Cost Share'!$E$19/12*$C$7))),0)</f>
        <v>0</v>
      </c>
      <c r="K150" s="24">
        <f>ROUND(IF($D$6=12,(E150*'Cost Share'!$F$19/12*Budget!$M$6),IF(Budget!$M$6-$D$6&lt;0,(E150*'Cost Share'!$F$19/12*Budget!$M$6),(E150*'Cost Share'!$F$19/12*$D$6)+(F150*'Cost Share'!$F$19/12*$D$7))),0)</f>
        <v>0</v>
      </c>
      <c r="L150" s="24">
        <f>ROUND(IF($E$6=12,(F150*'Cost Share'!$G$19/12*Budget!$N$6),IF(Budget!$N$6-$E$6&lt;0,(F150*'Cost Share'!$G$19/12*Budget!$N$6),(F150*'Cost Share'!$G$19/12*$E$6)+(F150*'Cost Share'!$G$19/12*$E$7))),0)</f>
        <v>0</v>
      </c>
      <c r="M150" s="25">
        <f>ROUND(IF($F$6=12,(G150*'Cost Share'!$H$19/12*Budget!$O$6),IF(Budget!$O$6-$F$6&lt;0,(G150*'Cost Share'!$H$19/12*Budget!$O$6),(G150*'Cost Share'!$H$19/12*$F$6)+(H150*'Cost Share'!$H$19/12*$F$7))),0)</f>
        <v>0</v>
      </c>
      <c r="N150" s="58"/>
      <c r="O150" s="29"/>
      <c r="P150" s="17"/>
      <c r="Q150" s="17"/>
      <c r="R150" s="59"/>
      <c r="S150" s="17"/>
      <c r="T150" s="5"/>
      <c r="U150" s="5"/>
      <c r="V150" s="118"/>
      <c r="W150" s="202"/>
      <c r="X150" s="156"/>
      <c r="Y150" s="156"/>
      <c r="Z150" s="156"/>
      <c r="AA150" s="156"/>
      <c r="AB150" s="156"/>
      <c r="AC150" s="156"/>
      <c r="AD150" s="156"/>
      <c r="AE150" s="156"/>
      <c r="AF150" s="156"/>
      <c r="AG150" s="156"/>
      <c r="AH150" s="58"/>
      <c r="AI150" s="29"/>
      <c r="AJ150" s="17"/>
      <c r="AK150" s="17"/>
      <c r="AL150" s="59"/>
      <c r="AM150" s="17"/>
    </row>
    <row r="151" spans="1:39" s="6" customFormat="1" x14ac:dyDescent="0.2">
      <c r="A151" s="18">
        <f>'Cost Share'!$A$20</f>
        <v>12</v>
      </c>
      <c r="B151" s="21">
        <f>(1+'Cost Share'!$J$20)</f>
        <v>1</v>
      </c>
      <c r="C151" s="24">
        <f>ROUND('Cost Share'!$C$20,0)</f>
        <v>0</v>
      </c>
      <c r="D151" s="51">
        <f>ROUND(IF($O$38=0,'Cost Share'!$C$20,'Cost Share'!$C$20*B151),0)</f>
        <v>0</v>
      </c>
      <c r="E151" s="51">
        <f>ROUND(IF($P$38=0,'Cost Share'!$C$20,IF($P$38=1,'Cost Share'!$C$20*B151,IF($P$38=2,'Cost Share'!$C$20*B151*B151))),0)</f>
        <v>0</v>
      </c>
      <c r="F151" s="51">
        <f>ROUND(IF($Q$38=0,'Cost Share'!$C$20,IF($Q$38=1,'Cost Share'!$C$20*B151,IF($Q$38=2,'Cost Share'!$C$20*B151*B151,IF($Q$38=3,'Cost Share'!$C$20*B151*B151*B151)))),0)</f>
        <v>0</v>
      </c>
      <c r="G151" s="51">
        <f>ROUND(IF($R$38=0,'Cost Share'!$C$20,IF($R$38=1,'Cost Share'!$C$20*B151,IF($R$38=2,'Cost Share'!$C$20*B151*B151,IF($R$38=3,'Cost Share'!$C$20*B151*B151*B151,IF($R$38=4,'Cost Share'!$C$20*B151*B151*B151*B151,IF($R$38=5,'Cost Share'!$C$20*B151*B151*B151*B151*B151)))))),0)</f>
        <v>0</v>
      </c>
      <c r="H151" s="51">
        <f>ROUND(IF($S$38=0,'Cost Share'!$C$20,IF($S$38=1,'Cost Share'!$C$20*B151,IF($S$38=2,'Cost Share'!$C$20*B151*B151,IF($S$38=3,'Cost Share'!$C$20*B151*B151*B151,IF($S$38=4,'Cost Share'!$C$20*B151*B151*B151*B151,IF($S$38=5,'Cost Share'!$C$20*B151*B151*B151*B151*B151,IF($S$38=6,'Cost Share'!$C$20*B151*B151*B151*B151*B151*B151))))))),0)</f>
        <v>0</v>
      </c>
      <c r="I151" s="24">
        <f>ROUND(IF($B$6=12,(C151*'Cost Share'!$D$20/12*Budget!$K$6),IF(Budget!$K$6-$B$6&lt;0,(D151*'Cost Share'!$D$20/12*Budget!$K$6),(D151*'Cost Share'!$D$20/12*$B$6)+(D151*'Cost Share'!$D$20/12*$B$7))),0)</f>
        <v>0</v>
      </c>
      <c r="J151" s="24">
        <f>ROUND(IF($C$6=12,(D151*'Cost Share'!$E$20/12*Budget!$L$6),IF(Budget!$L$6-$C$6&lt;0,(D151*'Cost Share'!$E$20/12*Budget!$L$6),(D151*'Cost Share'!$E$20/12*$C$6)+(E151*'Cost Share'!$E$20/12*$C$7))),0)</f>
        <v>0</v>
      </c>
      <c r="K151" s="24">
        <f>ROUND(IF($D$6=12,(E151*'Cost Share'!$F$20/12*Budget!$M$6),IF(Budget!$M$6-$D$6&lt;0,(E151*'Cost Share'!$F$20/12*Budget!$M$6),(E151*'Cost Share'!$F$20/12*$D$6)+(F151*'Cost Share'!$F$20/12*$D$7))),0)</f>
        <v>0</v>
      </c>
      <c r="L151" s="24">
        <f>ROUND(IF($E$6=12,(F151*'Cost Share'!$G$20/12*Budget!$N$6),IF(Budget!$N$6-$E$6&lt;0,(F151*'Cost Share'!$G$20/12*Budget!$N$6),(F151*'Cost Share'!$G$20/12*$E$6)+(F151*'Cost Share'!$G$20/12*$E$7))),0)</f>
        <v>0</v>
      </c>
      <c r="M151" s="25">
        <f>ROUND(IF($F$6=12,(G151*'Cost Share'!$H$20/12*Budget!$O$6),IF(Budget!$O$6-$F$6&lt;0,(G151*'Cost Share'!$H$20/12*Budget!$O$6),(G151*'Cost Share'!$H$20/12*$F$6)+(H151*'Cost Share'!$H$20/12*$F$7))),0)</f>
        <v>0</v>
      </c>
      <c r="N151" s="58"/>
      <c r="O151" s="29"/>
      <c r="P151" s="17"/>
      <c r="Q151" s="17"/>
      <c r="R151" s="59"/>
      <c r="S151" s="17"/>
      <c r="T151" s="5"/>
      <c r="U151" s="5"/>
      <c r="V151" s="118"/>
      <c r="W151" s="202"/>
      <c r="X151" s="156"/>
      <c r="Y151" s="156"/>
      <c r="Z151" s="156"/>
      <c r="AA151" s="156"/>
      <c r="AB151" s="156"/>
      <c r="AC151" s="156"/>
      <c r="AD151" s="156"/>
      <c r="AE151" s="156"/>
      <c r="AF151" s="156"/>
      <c r="AG151" s="156"/>
      <c r="AH151" s="58"/>
      <c r="AI151" s="29"/>
      <c r="AJ151" s="17"/>
      <c r="AK151" s="17"/>
      <c r="AL151" s="59"/>
      <c r="AM151" s="17"/>
    </row>
    <row r="152" spans="1:39" s="6" customFormat="1" x14ac:dyDescent="0.2">
      <c r="A152" s="18">
        <f>'Cost Share'!$A$21</f>
        <v>13</v>
      </c>
      <c r="B152" s="21">
        <f>(1+'Cost Share'!$J$21)</f>
        <v>1</v>
      </c>
      <c r="C152" s="24">
        <f>ROUND('Cost Share'!$C$21,0)</f>
        <v>0</v>
      </c>
      <c r="D152" s="51">
        <f>ROUND(IF($O$38=0,'Cost Share'!$C$21,'Cost Share'!$C$21*B152),0)</f>
        <v>0</v>
      </c>
      <c r="E152" s="51">
        <f>ROUND(IF($P$38=0,'Cost Share'!$C$21,IF($P$38=1,'Cost Share'!$C$21*B152,IF($P$38=2,'Cost Share'!$C$21*B152*B152))),0)</f>
        <v>0</v>
      </c>
      <c r="F152" s="51">
        <f>ROUND(IF($Q$38=0,'Cost Share'!$C$21,IF($Q$38=1,'Cost Share'!$C$21*B152,IF($Q$38=2,'Cost Share'!$C$21*B152*B152,IF($Q$38=3,'Cost Share'!$C$21*B152*B152*B152)))),0)</f>
        <v>0</v>
      </c>
      <c r="G152" s="51">
        <f>ROUND(IF($R$38=0,'Cost Share'!$C$21,IF($R$38=1,'Cost Share'!$C$21*B152,IF($R$38=2,'Cost Share'!$C$21*B152*B152,IF($R$38=3,'Cost Share'!$C$21*B152*B152*B152,IF($R$38=4,'Cost Share'!$C$21*B152*B152*B152*B152,IF($R$38=5,'Cost Share'!$C$21*B152*B152*B152*B152*B152)))))),0)</f>
        <v>0</v>
      </c>
      <c r="H152" s="51">
        <f>ROUND(IF($S$38=0,'Cost Share'!$C$21,IF($S$38=1,'Cost Share'!$C$21*B152,IF($S$38=2,'Cost Share'!$C$21*B152*B152,IF($S$38=3,'Cost Share'!$C$21*B152*B152*B152,IF($S$38=4,'Cost Share'!$C$21*B152*B152*B152*B152,IF($S$38=5,'Cost Share'!$C$21*B152*B152*B152*B152*B152,IF($S$38=6,'Cost Share'!$C$21*B152*B152*B152*B152*B152*B152))))))),0)</f>
        <v>0</v>
      </c>
      <c r="I152" s="24">
        <f>ROUND(IF($B$6=12,(C152*'Cost Share'!$D$21/12*Budget!$K$6),IF(Budget!$K$6-$B$6&lt;0,(D152*'Cost Share'!$D$21/12*Budget!$K$6),(D152*'Cost Share'!$D$21/12*$B$6)+(D152*'Cost Share'!$D$21/12*$B$7))),0)</f>
        <v>0</v>
      </c>
      <c r="J152" s="24">
        <f>ROUND(IF($C$6=12,(D152*'Cost Share'!$E$21/12*Budget!$L$6),IF(Budget!$L$6-$C$6&lt;0,(D152*'Cost Share'!$E$21/12*Budget!$L$6),(D152*'Cost Share'!$E$21/12*$C$6)+(E152*'Cost Share'!$E$21/12*$C$7))),0)</f>
        <v>0</v>
      </c>
      <c r="K152" s="24">
        <f>ROUND(IF($D$6=12,(E152*'Cost Share'!$F$21/12*Budget!$M$6),IF(Budget!$M$6-$D$6&lt;0,(E152*'Cost Share'!$F$21/12*Budget!$M$6),(E152*'Cost Share'!$F$21/12*$D$6)+(F152*'Cost Share'!$F$21/12*$D$7))),0)</f>
        <v>0</v>
      </c>
      <c r="L152" s="24">
        <f>ROUND(IF($E$6=12,(F152*'Cost Share'!$G$21/12*Budget!$N$6),IF(Budget!$N$6-$E$6&lt;0,(F152*'Cost Share'!$G$21/12*Budget!$N$6),(F152*'Cost Share'!$G$21/12*$E$6)+(F152*'Cost Share'!$G$21/12*$E$7))),0)</f>
        <v>0</v>
      </c>
      <c r="M152" s="25">
        <f>ROUND(IF($F$6=12,(G152*'Cost Share'!$H$21/12*Budget!$O$6),IF(Budget!$O$6-$F$6&lt;0,(G152*'Cost Share'!$H$21/12*Budget!$O$6),(G152*'Cost Share'!$H$21/12*$F$6)+(H152*'Cost Share'!$H$21/12*$F$7))),0)</f>
        <v>0</v>
      </c>
      <c r="N152" s="58"/>
      <c r="O152" s="29"/>
      <c r="P152" s="17"/>
      <c r="Q152" s="17"/>
      <c r="R152" s="59"/>
      <c r="S152" s="17"/>
      <c r="T152" s="5"/>
      <c r="U152" s="5"/>
      <c r="V152" s="118"/>
      <c r="W152" s="202"/>
      <c r="X152" s="156"/>
      <c r="Y152" s="156"/>
      <c r="Z152" s="156"/>
      <c r="AA152" s="156"/>
      <c r="AB152" s="156"/>
      <c r="AC152" s="156"/>
      <c r="AD152" s="156"/>
      <c r="AE152" s="156"/>
      <c r="AF152" s="156"/>
      <c r="AG152" s="156"/>
      <c r="AH152" s="58"/>
      <c r="AI152" s="29"/>
      <c r="AJ152" s="17"/>
      <c r="AK152" s="17"/>
      <c r="AL152" s="59"/>
      <c r="AM152" s="17"/>
    </row>
    <row r="153" spans="1:39" s="6" customFormat="1" x14ac:dyDescent="0.2">
      <c r="A153" s="18">
        <f>'Cost Share'!$A$22</f>
        <v>14</v>
      </c>
      <c r="B153" s="21">
        <f>(1+'Cost Share'!$J$22)</f>
        <v>1</v>
      </c>
      <c r="C153" s="24">
        <f>ROUND('Cost Share'!$C$22,0)</f>
        <v>0</v>
      </c>
      <c r="D153" s="51">
        <f>ROUND(IF($O$38=0,'Cost Share'!$C$22,'Cost Share'!$C$22*B153),0)</f>
        <v>0</v>
      </c>
      <c r="E153" s="51">
        <f>ROUND(IF($P$38=0,'Cost Share'!$C$22,IF($P$38=1,'Cost Share'!$C$22*B153,IF($P$38=2,'Cost Share'!$C$22*B153*B153))),0)</f>
        <v>0</v>
      </c>
      <c r="F153" s="51">
        <f>ROUND(IF($Q$38=0,'Cost Share'!$C$22,IF($Q$38=1,'Cost Share'!$C$22*B153,IF($Q$38=2,'Cost Share'!$C$22*B153*B153,IF($Q$38=3,'Cost Share'!$C$22*B153*B153*B153)))),0)</f>
        <v>0</v>
      </c>
      <c r="G153" s="51">
        <f>ROUND(IF($R$38=0,'Cost Share'!$C$22,IF($R$38=1,'Cost Share'!$C$22*B153,IF($R$38=2,'Cost Share'!$C$22*B153*B153,IF($R$38=3,'Cost Share'!$C$22*B153*B153*B153,IF($R$38=4,'Cost Share'!$C$22*B153*B153*B153*B153,IF($R$38=5,'Cost Share'!$C$22*B153*B153*B153*B153*B153)))))),0)</f>
        <v>0</v>
      </c>
      <c r="H153" s="51">
        <f>ROUND(IF($S$38=0,'Cost Share'!$C$22,IF($S$38=1,'Cost Share'!$C$22*B153,IF($S$38=2,'Cost Share'!$C$22*B153*B153,IF($S$38=3,'Cost Share'!$C$22*B153*B153*B153,IF($S$38=4,'Cost Share'!$C$22*B153*B153*B153*B153,IF($S$38=5,'Cost Share'!$C$22*B153*B153*B153*B153*B153,IF($S$38=6,'Cost Share'!$C$22*B153*B153*B153*B153*B153*B153))))))),0)</f>
        <v>0</v>
      </c>
      <c r="I153" s="24">
        <f>ROUND(IF($B$6=12,(C153*'Cost Share'!$D$22/12*Budget!$K$6),IF(Budget!$K$6-$B$6&lt;0,(D153*'Cost Share'!$D$22/12*Budget!$K$6),(D153*'Cost Share'!$D$22/12*$B$6)+(D153*'Cost Share'!$D$22/12*$B$7))),0)</f>
        <v>0</v>
      </c>
      <c r="J153" s="24">
        <f>ROUND(IF($C$6=12,(D153*'Cost Share'!$E$22/12*Budget!$L$6),IF(Budget!$L$6-$C$6&lt;0,(D153*'Cost Share'!$E$22/12*Budget!$L$6),(D153*'Cost Share'!$E$22/12*$C$6)+(E153*'Cost Share'!$E$22/12*$C$7))),0)</f>
        <v>0</v>
      </c>
      <c r="K153" s="24">
        <f>ROUND(IF($D$6=12,(E153*'Cost Share'!$F$22/12*Budget!$M$6),IF(Budget!$M$6-$D$6&lt;0,(E153*'Cost Share'!$F$22/12*Budget!$M$6),(E153*'Cost Share'!$F$22/12*$D$6)+(F153*'Cost Share'!$F$22/12*$D$7))),0)</f>
        <v>0</v>
      </c>
      <c r="L153" s="24">
        <f>ROUND(IF($E$6=12,(F153*'Cost Share'!$G$22/12*Budget!$N$6),IF(Budget!$N$6-$E$6&lt;0,(F153*'Cost Share'!$G$22/12*Budget!$N$6),(F153*'Cost Share'!$G$22/12*$E$6)+(F153*'Cost Share'!$G$22/12*$E$7))),0)</f>
        <v>0</v>
      </c>
      <c r="M153" s="25">
        <f>ROUND(IF($F$6=12,(G153*'Cost Share'!$H$22/12*Budget!$O$6),IF(Budget!$O$6-$F$6&lt;0,(G153*'Cost Share'!$H$22/12*Budget!$O$6),(G153*'Cost Share'!$H$22/12*$F$6)+(H153*'Cost Share'!$H$22/12*$F$7))),0)</f>
        <v>0</v>
      </c>
      <c r="N153" s="58"/>
      <c r="O153" s="29"/>
      <c r="P153" s="17"/>
      <c r="Q153" s="17"/>
      <c r="R153" s="59"/>
      <c r="S153" s="17"/>
      <c r="T153" s="5"/>
      <c r="U153" s="5"/>
      <c r="V153" s="118"/>
      <c r="W153" s="202"/>
      <c r="X153" s="156"/>
      <c r="Y153" s="156"/>
      <c r="Z153" s="156"/>
      <c r="AA153" s="156"/>
      <c r="AB153" s="156"/>
      <c r="AC153" s="156"/>
      <c r="AD153" s="156"/>
      <c r="AE153" s="156"/>
      <c r="AF153" s="156"/>
      <c r="AG153" s="156"/>
      <c r="AH153" s="58"/>
      <c r="AI153" s="29"/>
      <c r="AJ153" s="17"/>
      <c r="AK153" s="17"/>
      <c r="AL153" s="59"/>
      <c r="AM153" s="17"/>
    </row>
    <row r="154" spans="1:39" s="6" customFormat="1" x14ac:dyDescent="0.2">
      <c r="A154" s="18">
        <f>'Cost Share'!$A$23</f>
        <v>15</v>
      </c>
      <c r="B154" s="21">
        <f>(1+'Cost Share'!$J$23)</f>
        <v>1</v>
      </c>
      <c r="C154" s="24">
        <f>ROUND('Cost Share'!$C$23,0)</f>
        <v>0</v>
      </c>
      <c r="D154" s="51">
        <f>ROUND(IF($O$38=0,'Cost Share'!$C$23,'Cost Share'!$C$23*B154),0)</f>
        <v>0</v>
      </c>
      <c r="E154" s="51">
        <f>ROUND(IF($P$38=0,'Cost Share'!$C$23,IF($P$38=1,'Cost Share'!$C$23*B154,IF($P$38=2,'Cost Share'!$C$23*B154*B154))),0)</f>
        <v>0</v>
      </c>
      <c r="F154" s="51">
        <f>ROUND(IF($Q$38=0,'Cost Share'!$C$23,IF($Q$38=1,'Cost Share'!$C$23*B154,IF($Q$38=2,'Cost Share'!$C$23*B154*B154,IF($Q$38=3,'Cost Share'!$C$23*B154*B154*B154)))),0)</f>
        <v>0</v>
      </c>
      <c r="G154" s="51">
        <f>ROUND(IF($R$38=0,'Cost Share'!$C$23,IF($R$38=1,'Cost Share'!$C$23*B154,IF($R$38=2,'Cost Share'!$C$23*B154*B154,IF($R$38=3,'Cost Share'!$C$23*B154*B154*B154,IF($R$38=4,'Cost Share'!$C$23*B154*B154*B154*B154,IF($R$38=5,'Cost Share'!$C$23*B154*B154*B154*B154*B154)))))),0)</f>
        <v>0</v>
      </c>
      <c r="H154" s="51">
        <f>ROUND(IF($S$38=0,'Cost Share'!$C$23,IF($S$38=1,'Cost Share'!$C$23*B154,IF($S$38=2,'Cost Share'!$C$23*B154*B154,IF($S$38=3,'Cost Share'!$C$23*B154*B154*B154,IF($S$38=4,'Cost Share'!$C$23*B154*B154*B154*B154,IF($S$38=5,'Cost Share'!$C$23*B154*B154*B154*B154*B154,IF($S$38=6,'Cost Share'!$C$23*B154*B154*B154*B154*B154*B154))))))),0)</f>
        <v>0</v>
      </c>
      <c r="I154" s="24">
        <f>ROUND(IF($B$6=12,(C154*'Cost Share'!$D$23/12*Budget!$K$6),IF(Budget!$K$6-$B$6&lt;0,(D154*'Cost Share'!$D$23/12*Budget!$K$6),(D154*'Cost Share'!$D$23/12*$B$6)+(D154*'Cost Share'!$D$23/12*$B$7))),0)</f>
        <v>0</v>
      </c>
      <c r="J154" s="24">
        <f>ROUND(IF($C$6=12,(D154*'Cost Share'!$E$23/12*Budget!$L$6),IF(Budget!$L$6-$C$6&lt;0,(D154*'Cost Share'!$E$23/12*Budget!$L$6),(D154*'Cost Share'!$E$23/12*$C$6)+(E154*'Cost Share'!$E$23/12*$C$7))),0)</f>
        <v>0</v>
      </c>
      <c r="K154" s="24">
        <f>ROUND(IF($D$6=12,(E154*'Cost Share'!$F$23/12*Budget!$M$6),IF(Budget!$M$6-$D$6&lt;0,(E154*'Cost Share'!$F$23/12*Budget!$M$6),(E154*'Cost Share'!$F$23/12*$D$6)+(F154*'Cost Share'!$F$23/12*$D$7))),0)</f>
        <v>0</v>
      </c>
      <c r="L154" s="24">
        <f>ROUND(IF($E$6=12,(F154*'Cost Share'!$G$23/12*Budget!$N$6),IF(Budget!$N$6-$E$6&lt;0,(F154*'Cost Share'!$G$23/12*Budget!$N$6),(F154*'Cost Share'!$G$23/12*$E$6)+(F154*'Cost Share'!$G$23/12*$E$7))),0)</f>
        <v>0</v>
      </c>
      <c r="M154" s="25">
        <f>ROUND(IF($F$6=12,(G154*'Cost Share'!$H$23/12*Budget!$O$6),IF(Budget!$O$6-$F$6&lt;0,(G154*'Cost Share'!$H$23/12*Budget!$O$6),(G154*'Cost Share'!$H$23/12*$F$6)+(H154*'Cost Share'!$H$23/12*$F$7))),0)</f>
        <v>0</v>
      </c>
      <c r="N154" s="58"/>
      <c r="O154" s="29"/>
      <c r="P154" s="17"/>
      <c r="Q154" s="17"/>
      <c r="R154" s="59"/>
      <c r="S154" s="17"/>
      <c r="T154" s="5"/>
      <c r="U154" s="5"/>
      <c r="V154" s="118"/>
      <c r="W154" s="202"/>
      <c r="X154" s="156"/>
      <c r="Y154" s="156"/>
      <c r="Z154" s="156"/>
      <c r="AA154" s="156"/>
      <c r="AB154" s="156"/>
      <c r="AC154" s="156"/>
      <c r="AD154" s="156"/>
      <c r="AE154" s="156"/>
      <c r="AF154" s="156"/>
      <c r="AG154" s="156"/>
      <c r="AH154" s="58"/>
      <c r="AI154" s="29"/>
      <c r="AJ154" s="17"/>
      <c r="AK154" s="17"/>
      <c r="AL154" s="59"/>
      <c r="AM154" s="17"/>
    </row>
    <row r="155" spans="1:39" s="6" customFormat="1" x14ac:dyDescent="0.2">
      <c r="A155" s="18">
        <f>'Cost Share'!$A$24</f>
        <v>16</v>
      </c>
      <c r="B155" s="21">
        <f>(1+'Cost Share'!$J$24)</f>
        <v>1</v>
      </c>
      <c r="C155" s="24">
        <f>ROUND('Cost Share'!$C$24,0)</f>
        <v>0</v>
      </c>
      <c r="D155" s="51">
        <f>ROUND(IF($O$38=0,'Cost Share'!$C$24,'Cost Share'!$C$24*B155),0)</f>
        <v>0</v>
      </c>
      <c r="E155" s="51">
        <f>ROUND(IF($P$38=0,'Cost Share'!$C$24,IF($P$38=1,'Cost Share'!$C$24*B155,IF($P$38=2,'Cost Share'!$C$24*B155*B155))),0)</f>
        <v>0</v>
      </c>
      <c r="F155" s="51">
        <f>ROUND(IF($Q$38=0,'Cost Share'!$C$24,IF($Q$38=1,'Cost Share'!$C$24*B155,IF($Q$38=2,'Cost Share'!$C$24*B155*B155,IF($Q$38=3,'Cost Share'!$C$24*B155*B155*B155)))),0)</f>
        <v>0</v>
      </c>
      <c r="G155" s="51">
        <f>ROUND(IF($R$38=0,'Cost Share'!$C$24,IF($R$38=1,'Cost Share'!$C$24*B155,IF($R$38=2,'Cost Share'!$C$24*B155*B155,IF($R$38=3,'Cost Share'!$C$24*B155*B155*B155,IF($R$38=4,'Cost Share'!$C$24*B155*B155*B155*B155,IF($R$38=5,'Cost Share'!$C$24*B155*B155*B155*B155*B155)))))),0)</f>
        <v>0</v>
      </c>
      <c r="H155" s="51">
        <f>ROUND(IF($S$38=0,'Cost Share'!$C$24,IF($S$38=1,'Cost Share'!$C$24*B155,IF($S$38=2,'Cost Share'!$C$24*B155*B155,IF($S$38=3,'Cost Share'!$C$24*B155*B155*B155,IF($S$38=4,'Cost Share'!$C$24*B155*B155*B155*B155,IF($S$38=5,'Cost Share'!$C$24*B155*B155*B155*B155*B155,IF($S$38=6,'Cost Share'!$C$24*B155*B155*B155*B155*B155*B155))))))),0)</f>
        <v>0</v>
      </c>
      <c r="I155" s="24">
        <f>ROUND(IF($B$6=12,(C155*'Cost Share'!$D$24/12*Budget!$K$6),IF(Budget!$K$6-$B$6&lt;0,(D155*'Cost Share'!$D$24/12*Budget!$K$6),(D155*'Cost Share'!$D$24/12*$B$6)+(D155*'Cost Share'!$D$24/12*$B$7))),0)</f>
        <v>0</v>
      </c>
      <c r="J155" s="24">
        <f>ROUND(IF($C$6=12,(D155*'Cost Share'!$E$24/12*Budget!$L$6),IF(Budget!$L$6-$C$6&lt;0,(D155*'Cost Share'!$E$24/12*Budget!$L$6),(D155*'Cost Share'!$E$24/12*$C$6)+(E155*'Cost Share'!$E$24/12*$C$7))),0)</f>
        <v>0</v>
      </c>
      <c r="K155" s="24">
        <f>ROUND(IF($D$6=12,(E155*'Cost Share'!$F$24/12*Budget!$M$6),IF(Budget!$M$6-$D$6&lt;0,(E155*'Cost Share'!$F$24/12*Budget!$M$6),(E155*'Cost Share'!$F$24/12*$D$6)+(F155*'Cost Share'!$F$24/12*$D$7))),0)</f>
        <v>0</v>
      </c>
      <c r="L155" s="24">
        <f>ROUND(IF($E$6=12,(F155*'Cost Share'!$G$24/12*Budget!$N$6),IF(Budget!$N$6-$E$6&lt;0,(F155*'Cost Share'!$G$24/12*Budget!$N$6),(F155*'Cost Share'!$G$24/12*$E$6)+(F155*'Cost Share'!$G$24/12*$E$7))),0)</f>
        <v>0</v>
      </c>
      <c r="M155" s="25">
        <f>ROUND(IF($F$6=12,(G155*'Cost Share'!$H$24/12*Budget!$O$6),IF(Budget!$O$6-$F$6&lt;0,(G155*'Cost Share'!$H$24/12*Budget!$O$6),(G155*'Cost Share'!$H$24/12*$F$6)+(H155*'Cost Share'!$H$24/12*$F$7))),0)</f>
        <v>0</v>
      </c>
      <c r="N155" s="58"/>
      <c r="O155" s="29"/>
      <c r="P155" s="17"/>
      <c r="Q155" s="17"/>
      <c r="R155" s="59"/>
      <c r="S155" s="17"/>
      <c r="T155" s="5"/>
      <c r="U155" s="5"/>
      <c r="V155" s="118"/>
      <c r="W155" s="202"/>
      <c r="X155" s="156"/>
      <c r="Y155" s="156"/>
      <c r="Z155" s="156"/>
      <c r="AA155" s="156"/>
      <c r="AB155" s="156"/>
      <c r="AC155" s="156"/>
      <c r="AD155" s="156"/>
      <c r="AE155" s="156"/>
      <c r="AF155" s="156"/>
      <c r="AG155" s="156"/>
      <c r="AH155" s="58"/>
      <c r="AI155" s="29"/>
      <c r="AJ155" s="17"/>
      <c r="AK155" s="17"/>
      <c r="AL155" s="59"/>
      <c r="AM155" s="17"/>
    </row>
    <row r="156" spans="1:39" s="107" customFormat="1" x14ac:dyDescent="0.2">
      <c r="A156" s="18">
        <f>'Cost Share'!$A$25</f>
        <v>17</v>
      </c>
      <c r="B156" s="21">
        <f>(1+'Cost Share'!$J$25)</f>
        <v>1</v>
      </c>
      <c r="C156" s="24">
        <f>ROUND('Cost Share'!$C$25,0)</f>
        <v>0</v>
      </c>
      <c r="D156" s="51">
        <f>ROUND(IF($O$38=0,'Cost Share'!$C$25,'Cost Share'!$C$25*B156),0)</f>
        <v>0</v>
      </c>
      <c r="E156" s="51">
        <f>ROUND(IF($P$38=0,'Cost Share'!$C$25,IF($P$38=1,'Cost Share'!$C$25*B156,IF($P$38=2,'Cost Share'!$C$25*B156*B156))),0)</f>
        <v>0</v>
      </c>
      <c r="F156" s="51">
        <f>ROUND(IF($Q$38=0,'Cost Share'!$C$25,IF($Q$38=1,'Cost Share'!$C$25*B156,IF($Q$38=2,'Cost Share'!$C$25*B156*B156,IF($Q$38=3,'Cost Share'!$C$25*B156*B156*B156)))),0)</f>
        <v>0</v>
      </c>
      <c r="G156" s="51">
        <f>ROUND(IF($R$38=0,'Cost Share'!$C$25,IF($R$38=1,'Cost Share'!$C$25*B156,IF($R$38=2,'Cost Share'!$C$25*B156*B156,IF($R$38=3,'Cost Share'!$C$25*B156*B156*B156,IF($R$38=4,'Cost Share'!$C$25*B156*B156*B156*B156,IF($R$38=5,'Cost Share'!$C$25*B156*B156*B156*B156*B156)))))),0)</f>
        <v>0</v>
      </c>
      <c r="H156" s="51">
        <f>ROUND(IF($S$38=0,'Cost Share'!$C$25,IF($S$38=1,'Cost Share'!$C$25*B156,IF($S$38=2,'Cost Share'!$C$25*B156*B156,IF($S$38=3,'Cost Share'!$C$25*B156*B156*B156,IF($S$38=4,'Cost Share'!$C$25*B156*B156*B156*B156,IF($S$38=5,'Cost Share'!$C$25*B156*B156*B156*B156*B156,IF($S$38=6,'Cost Share'!$C$25*B156*B156*B156*B156*B156*B156))))))),0)</f>
        <v>0</v>
      </c>
      <c r="I156" s="24">
        <f>ROUND(IF($B$6=12,(C156*'Cost Share'!$D$25/12*Budget!$K$6),IF(Budget!$K$6-$B$6&lt;0,(D156*'Cost Share'!$D$25/12*Budget!$K$6),(D156*'Cost Share'!$D$25/12*$B$6)+(D156*'Cost Share'!$D$25/12*$B$7))),0)</f>
        <v>0</v>
      </c>
      <c r="J156" s="24">
        <f>ROUND(IF($C$6=12,(D156*'Cost Share'!$E$25/12*Budget!$L$6),IF(Budget!$L$6-$C$6&lt;0,(D156*'Cost Share'!$E$25/12*Budget!$L$6),(D156*'Cost Share'!$E$25/12*$C$6)+(E156*'Cost Share'!$E$25/12*$C$7))),0)</f>
        <v>0</v>
      </c>
      <c r="K156" s="24">
        <f>ROUND(IF($D$6=12,(E156*'Cost Share'!$F$25/12*Budget!$M$6),IF(Budget!$M$6-$D$6&lt;0,(E156*'Cost Share'!$F$25/12*Budget!$M$6),(E156*'Cost Share'!$F$25/12*$D$6)+(F156*'Cost Share'!$F$25/12*$D$7))),0)</f>
        <v>0</v>
      </c>
      <c r="L156" s="24">
        <f>ROUND(IF($E$6=12,(F156*'Cost Share'!$G$25/12*Budget!$N$6),IF(Budget!$N$6-$E$6&lt;0,(F156*'Cost Share'!$G$25/12*Budget!$N$6),(F156*'Cost Share'!$G$25/12*$E$6)+(F156*'Cost Share'!$G$25/12*$E$7))),0)</f>
        <v>0</v>
      </c>
      <c r="M156" s="25">
        <f>ROUND(IF($F$6=12,(G156*'Cost Share'!$H$25/12*Budget!$O$6),IF(Budget!$O$6-$F$6&lt;0,(G156*'Cost Share'!$H$25/12*Budget!$O$6),(G156*'Cost Share'!$H$25/12*$F$6)+(H156*'Cost Share'!$H$25/12*$F$7))),0)</f>
        <v>0</v>
      </c>
      <c r="N156" s="5"/>
      <c r="O156" s="5"/>
      <c r="P156" s="5"/>
      <c r="Q156" s="5"/>
      <c r="R156" s="5"/>
      <c r="S156" s="5"/>
      <c r="T156" s="168"/>
      <c r="U156" s="5"/>
      <c r="V156" s="118"/>
      <c r="W156" s="202"/>
      <c r="X156" s="156"/>
      <c r="Y156" s="156"/>
      <c r="Z156" s="156"/>
      <c r="AA156" s="156"/>
      <c r="AB156" s="156"/>
      <c r="AC156" s="156"/>
      <c r="AD156" s="156"/>
      <c r="AE156" s="156"/>
      <c r="AF156" s="156"/>
      <c r="AG156" s="156"/>
      <c r="AH156" s="5"/>
      <c r="AI156" s="5"/>
      <c r="AJ156" s="5"/>
      <c r="AK156" s="5"/>
      <c r="AL156" s="5"/>
      <c r="AM156" s="5"/>
    </row>
    <row r="157" spans="1:39" x14ac:dyDescent="0.2">
      <c r="A157" s="18">
        <f>'Cost Share'!$A$26</f>
        <v>18</v>
      </c>
      <c r="B157" s="21">
        <f>(1+'Cost Share'!$J$26)</f>
        <v>1</v>
      </c>
      <c r="C157" s="24">
        <f>ROUND('Cost Share'!$C$26,0)</f>
        <v>0</v>
      </c>
      <c r="D157" s="51">
        <f>ROUND(IF($O$38=0,'Cost Share'!$C$26,'Cost Share'!$C$26*B157),0)</f>
        <v>0</v>
      </c>
      <c r="E157" s="51">
        <f>ROUND(IF($P$38=0,'Cost Share'!$C$26,IF($P$38=1,'Cost Share'!$C$26*B157,IF($P$38=2,'Cost Share'!$C$26*B157*B157))),0)</f>
        <v>0</v>
      </c>
      <c r="F157" s="51">
        <f>ROUND(IF($Q$38=0,'Cost Share'!$C$26,IF($Q$38=1,'Cost Share'!$C$26*B157,IF($Q$38=2,'Cost Share'!$C$26*B157*B157,IF($Q$38=3,'Cost Share'!$C$26*B157*B157*B157)))),0)</f>
        <v>0</v>
      </c>
      <c r="G157" s="51">
        <f>ROUND(IF($R$38=0,'Cost Share'!$C$26,IF($R$38=1,'Cost Share'!$C$26*B157,IF($R$38=2,'Cost Share'!$C$26*B157*B157,IF($R$38=3,'Cost Share'!$C$26*B157*B157*B157,IF($R$38=4,'Cost Share'!$C$26*B157*B157*B157*B157,IF($R$38=5,'Cost Share'!$C$26*B157*B157*B157*B157*B157)))))),0)</f>
        <v>0</v>
      </c>
      <c r="H157" s="51">
        <f>ROUND(IF($S$38=0,'Cost Share'!$C$26,IF($S$38=1,'Cost Share'!$C$26*B157,IF($S$38=2,'Cost Share'!$C$26*B157*B157,IF($S$38=3,'Cost Share'!$C$26*B157*B157*B157,IF($S$38=4,'Cost Share'!$C$26*B157*B157*B157*B157,IF($S$38=5,'Cost Share'!$C$26*B157*B157*B157*B157*B157,IF($S$38=6,'Cost Share'!$C$26*B157*B157*B157*B157*B157*B157))))))),0)</f>
        <v>0</v>
      </c>
      <c r="I157" s="24">
        <f>ROUND(IF($B$6=12,(C157*'Cost Share'!$D$26/12*Budget!$K$6),IF(Budget!$K$6-$B$6&lt;0,(D157*'Cost Share'!$D$26/12*Budget!$K$6),(D157*'Cost Share'!$D$26/12*$B$6)+(D157*'Cost Share'!$D$26/12*$B$7))),0)</f>
        <v>0</v>
      </c>
      <c r="J157" s="24">
        <f>ROUND(IF($C$6=12,(D157*'Cost Share'!$E$26/12*Budget!$L$6),IF(Budget!$L$6-$C$6&lt;0,(D157*'Cost Share'!$E$26/12*Budget!$L$6),(D157*'Cost Share'!$E$26/12*$C$6)+(E157*'Cost Share'!$E$26/12*$C$7))),0)</f>
        <v>0</v>
      </c>
      <c r="K157" s="24">
        <f>ROUND(IF($D$6=12,(E157*'Cost Share'!$F$26/12*Budget!$M$6),IF(Budget!$M$6-$D$6&lt;0,(E157*'Cost Share'!$F$26/12*Budget!$M$6),(E157*'Cost Share'!$F$26/12*$D$6)+(F157*'Cost Share'!$F$26/12*$D$7))),0)</f>
        <v>0</v>
      </c>
      <c r="L157" s="24">
        <f>ROUND(IF($E$6=12,(F157*'Cost Share'!$G$26/12*Budget!$N$6),IF(Budget!$N$6-$E$6&lt;0,(F157*'Cost Share'!$G$26/12*Budget!$N$6),(F157*'Cost Share'!$G$26/12*$E$6)+(F157*'Cost Share'!$G$26/12*$E$7))),0)</f>
        <v>0</v>
      </c>
      <c r="M157" s="25">
        <f>ROUND(IF($F$6=12,(G157*'Cost Share'!$H$26/12*Budget!$O$6),IF(Budget!$O$6-$F$6&lt;0,(G157*'Cost Share'!$H$26/12*Budget!$O$6),(G157*'Cost Share'!$H$26/12*$F$6)+(H157*'Cost Share'!$H$26/12*$F$7))),0)</f>
        <v>0</v>
      </c>
      <c r="V157" s="118"/>
      <c r="W157" s="202"/>
      <c r="X157" s="156"/>
      <c r="Y157" s="156"/>
      <c r="Z157" s="156"/>
      <c r="AA157" s="156"/>
      <c r="AB157" s="156"/>
      <c r="AC157" s="156"/>
      <c r="AD157" s="156"/>
      <c r="AE157" s="156"/>
      <c r="AF157" s="156"/>
      <c r="AG157" s="156"/>
    </row>
    <row r="158" spans="1:39" x14ac:dyDescent="0.2">
      <c r="A158" s="18">
        <f>'Cost Share'!$A$27</f>
        <v>19</v>
      </c>
      <c r="B158" s="21">
        <f>(1+'Cost Share'!$J$27)</f>
        <v>1</v>
      </c>
      <c r="C158" s="24">
        <f>ROUND('Cost Share'!$C$27,0)</f>
        <v>0</v>
      </c>
      <c r="D158" s="51">
        <f>ROUND(IF($O$38=0,'Cost Share'!$C$27,'Cost Share'!$C$27*B158),0)</f>
        <v>0</v>
      </c>
      <c r="E158" s="51">
        <f>ROUND(IF($P$38=0,'Cost Share'!$C$27,IF($P$38=1,'Cost Share'!$C$27*B158,IF($P$38=2,'Cost Share'!$C$27*B158*B158))),0)</f>
        <v>0</v>
      </c>
      <c r="F158" s="51">
        <f>ROUND(IF($Q$38=0,'Cost Share'!$C$27,IF($Q$38=1,'Cost Share'!$C$27*B158,IF($Q$38=2,'Cost Share'!$C$27*B158*B158,IF($Q$38=3,'Cost Share'!$C$27*B158*B158*B158)))),0)</f>
        <v>0</v>
      </c>
      <c r="G158" s="51">
        <f>ROUND(IF($R$38=0,'Cost Share'!$C$27,IF($R$38=1,'Cost Share'!$C$27*B158,IF($R$38=2,'Cost Share'!$C$27*B158*B158,IF($R$38=3,'Cost Share'!$C$27*B158*B158*B158,IF($R$38=4,'Cost Share'!$C$27*B158*B158*B158*B158,IF($R$38=5,'Cost Share'!$C$27*B158*B158*B158*B158*B158)))))),0)</f>
        <v>0</v>
      </c>
      <c r="H158" s="51">
        <f>ROUND(IF($S$38=0,'Cost Share'!$C$27,IF($S$38=1,'Cost Share'!$C$27*B158,IF($S$38=2,'Cost Share'!$C$27*B158*B158,IF($S$38=3,'Cost Share'!$C$27*B158*B158*B158,IF($S$38=4,'Cost Share'!$C$27*B158*B158*B158*B158,IF($S$38=5,'Cost Share'!$C$27*B158*B158*B158*B158*B158,IF($S$38=6,'Cost Share'!$C$27*B158*B158*B158*B158*B158*B158))))))),0)</f>
        <v>0</v>
      </c>
      <c r="I158" s="24">
        <f>ROUND(IF($B$6=12,(C158*'Cost Share'!$D$27/12*Budget!$K$6),IF(Budget!$K$6-$B$6&lt;0,(D158*'Cost Share'!$D$27/12*Budget!$K$6),(D158*'Cost Share'!$D$27/12*$B$6)+(D158*'Cost Share'!$D$27/12*$B$7))),0)</f>
        <v>0</v>
      </c>
      <c r="J158" s="24">
        <f>ROUND(IF($C$6=12,(D158*'Cost Share'!$E$27/12*Budget!$L$6),IF(Budget!$L$6-$C$6&lt;0,(D158*'Cost Share'!$E$27/12*Budget!$L$6),(D158*'Cost Share'!$E$27/12*$C$6)+(E158*'Cost Share'!$E$27/12*$C$7))),0)</f>
        <v>0</v>
      </c>
      <c r="K158" s="24">
        <f>ROUND(IF($D$6=12,(E158*'Cost Share'!$F$27/12*Budget!$M$6),IF(Budget!$M$6-$D$6&lt;0,(E158*'Cost Share'!$F$27/12*Budget!$M$6),(E158*'Cost Share'!$F$27/12*$D$6)+(F158*'Cost Share'!$F$27/12*$D$7))),0)</f>
        <v>0</v>
      </c>
      <c r="L158" s="24">
        <f>ROUND(IF($E$6=12,(F158*'Cost Share'!$G$27/12*Budget!$N$6),IF(Budget!$N$6-$E$6&lt;0,(F158*'Cost Share'!$G$27/12*Budget!$N$6),(F158*'Cost Share'!$G$27/12*$E$6)+(F158*'Cost Share'!$G$27/12*$E$7))),0)</f>
        <v>0</v>
      </c>
      <c r="M158" s="25">
        <f>ROUND(IF($F$6=12,(G158*'Cost Share'!$H$27/12*Budget!$O$6),IF(Budget!$O$6-$F$6&lt;0,(G158*'Cost Share'!$H$27/12*Budget!$O$6),(G158*'Cost Share'!$H$27/12*$F$6)+(H158*'Cost Share'!$H$27/12*$F$7))),0)</f>
        <v>0</v>
      </c>
      <c r="V158" s="118"/>
      <c r="W158" s="202"/>
      <c r="X158" s="156"/>
      <c r="Y158" s="156"/>
      <c r="Z158" s="156"/>
      <c r="AA158" s="156"/>
      <c r="AB158" s="156"/>
      <c r="AC158" s="156"/>
      <c r="AD158" s="156"/>
      <c r="AE158" s="156"/>
      <c r="AF158" s="156"/>
      <c r="AG158" s="156"/>
    </row>
    <row r="159" spans="1:39" x14ac:dyDescent="0.2">
      <c r="A159" s="18">
        <f>'Cost Share'!$A$28</f>
        <v>20</v>
      </c>
      <c r="B159" s="21">
        <f>(1+'Cost Share'!$J$28)</f>
        <v>1</v>
      </c>
      <c r="C159" s="24">
        <f>ROUND('Cost Share'!$C$28,0)</f>
        <v>0</v>
      </c>
      <c r="D159" s="51">
        <f>ROUND(IF($O$38=0,'Cost Share'!$C$28,'Cost Share'!$C$28*B159),0)</f>
        <v>0</v>
      </c>
      <c r="E159" s="51">
        <f>ROUND(IF($P$38=0,'Cost Share'!$C$28,IF($P$38=1,'Cost Share'!$C$28*B159,IF($P$38=2,'Cost Share'!$C$28*B159*B159))),0)</f>
        <v>0</v>
      </c>
      <c r="F159" s="51">
        <f>ROUND(IF($Q$38=0,'Cost Share'!$C$28,IF($Q$38=1,'Cost Share'!$C$28*B159,IF($Q$38=2,'Cost Share'!$C$28*B159*B159,IF($Q$38=3,'Cost Share'!$C$28*B159*B159*B159)))),0)</f>
        <v>0</v>
      </c>
      <c r="G159" s="51">
        <f>ROUND(IF($R$38=0,'Cost Share'!$C$28,IF($R$38=1,'Cost Share'!$C$28*B159,IF($R$38=2,'Cost Share'!$C$28*B159*B159,IF($R$38=3,'Cost Share'!$C$28*B159*B159*B159,IF($R$38=4,'Cost Share'!$C$28*B159*B159*B159*B159,IF($R$38=5,'Cost Share'!$C$28*B159*B159*B159*B159*B159)))))),0)</f>
        <v>0</v>
      </c>
      <c r="H159" s="51">
        <f>ROUND(IF($S$38=0,'Cost Share'!$C$28,IF($S$38=1,'Cost Share'!$C$28*B159,IF($S$38=2,'Cost Share'!$C$28*B159*B159,IF($S$38=3,'Cost Share'!$C$28*B159*B159*B159,IF($S$38=4,'Cost Share'!$C$28*B159*B159*B159*B159,IF($S$38=5,'Cost Share'!$C$28*B159*B159*B159*B159*B159,IF($S$38=6,'Cost Share'!$C$28*B159*B159*B159*B159*B159*B159))))))),0)</f>
        <v>0</v>
      </c>
      <c r="I159" s="24">
        <f>ROUND(IF($B$6=12,(C159*'Cost Share'!$D$28/12*Budget!$K$6),IF(Budget!$K$6-$B$6&lt;0,(D159*'Cost Share'!$D$28/12*Budget!$K$6),(D159*'Cost Share'!$D$28/12*$B$6)+(D159*'Cost Share'!$D$28/12*$B$7))),0)</f>
        <v>0</v>
      </c>
      <c r="J159" s="24">
        <f>ROUND(IF($C$6=12,(D159*'Cost Share'!$E$28/12*Budget!$L$6),IF(Budget!$L$6-$C$6&lt;0,(D159*'Cost Share'!$E$28/12*Budget!$L$6),(D159*'Cost Share'!$E$28/12*$C$6)+(E159*'Cost Share'!$E$28/12*$C$7))),0)</f>
        <v>0</v>
      </c>
      <c r="K159" s="24">
        <f>ROUND(IF($D$6=12,(E159*'Cost Share'!$F$28/12*Budget!$M$6),IF(Budget!$M$6-$D$6&lt;0,(E159*'Cost Share'!$F$28/12*Budget!$M$6),(E159*'Cost Share'!$F$28/12*$D$6)+(F159*'Cost Share'!$F$28/12*$D$7))),0)</f>
        <v>0</v>
      </c>
      <c r="L159" s="24">
        <f>ROUND(IF($E$6=12,(F159*'Cost Share'!$G$28/12*Budget!$N$6),IF(Budget!$N$6-$E$6&lt;0,(F159*'Cost Share'!$G$28/12*Budget!$N$6),(F159*'Cost Share'!$G$28/12*$E$6)+(F159*'Cost Share'!$G$28/12*$E$7))),0)</f>
        <v>0</v>
      </c>
      <c r="M159" s="25">
        <f>ROUND(IF($F$6=12,(G159*'Cost Share'!$H$28/12*Budget!$O$6),IF(Budget!$O$6-$F$6&lt;0,(G159*'Cost Share'!$H$28/12*Budget!$O$6),(G159*'Cost Share'!$H$28/12*$F$6)+(H159*'Cost Share'!$H$28/12*$F$7))),0)</f>
        <v>0</v>
      </c>
      <c r="V159" s="118"/>
      <c r="W159" s="202"/>
      <c r="X159" s="156"/>
      <c r="Y159" s="156"/>
      <c r="Z159" s="156"/>
      <c r="AA159" s="156"/>
      <c r="AB159" s="156"/>
      <c r="AC159" s="156"/>
      <c r="AD159" s="156"/>
      <c r="AE159" s="156"/>
      <c r="AF159" s="156"/>
      <c r="AG159" s="156"/>
    </row>
    <row r="160" spans="1:39" x14ac:dyDescent="0.2">
      <c r="B160" s="17"/>
      <c r="C160" s="156"/>
      <c r="D160" s="156"/>
      <c r="E160" s="156"/>
      <c r="F160" s="156"/>
      <c r="G160" s="156"/>
      <c r="H160" s="156"/>
      <c r="I160" s="156"/>
      <c r="J160" s="156"/>
      <c r="K160" s="156"/>
      <c r="L160" s="156"/>
      <c r="M160" s="156"/>
    </row>
    <row r="161" spans="1:19" x14ac:dyDescent="0.2">
      <c r="A161" s="160" t="s">
        <v>205</v>
      </c>
      <c r="C161" s="159"/>
      <c r="J161" s="6"/>
      <c r="K161" s="6"/>
      <c r="L161" s="6"/>
      <c r="M161" s="6"/>
      <c r="N161" s="6"/>
      <c r="O161" s="6"/>
      <c r="P161" s="6"/>
      <c r="Q161" s="6"/>
      <c r="R161" s="6"/>
      <c r="S161" s="6"/>
    </row>
    <row r="162" spans="1:19" x14ac:dyDescent="0.2">
      <c r="A162" s="149"/>
      <c r="B162" s="6"/>
      <c r="C162" s="6" t="s">
        <v>109</v>
      </c>
      <c r="D162" s="6"/>
      <c r="E162" s="6"/>
      <c r="F162" s="6"/>
      <c r="G162" s="6"/>
      <c r="H162" s="6"/>
      <c r="I162" s="6"/>
      <c r="J162" s="6"/>
      <c r="K162" s="6"/>
      <c r="L162" s="6"/>
      <c r="M162" s="6"/>
      <c r="N162" s="6"/>
      <c r="O162" s="6"/>
      <c r="P162" s="6"/>
      <c r="Q162" s="6"/>
      <c r="R162" s="6"/>
    </row>
    <row r="163" spans="1:19" x14ac:dyDescent="0.2">
      <c r="A163" s="149" t="s">
        <v>206</v>
      </c>
      <c r="B163" s="119"/>
      <c r="C163" s="119" t="s">
        <v>37</v>
      </c>
      <c r="D163" s="119"/>
      <c r="E163" s="119"/>
      <c r="F163" s="119"/>
      <c r="G163" s="119"/>
      <c r="H163" s="6"/>
      <c r="I163" s="113"/>
      <c r="J163" s="6"/>
      <c r="K163" s="6"/>
      <c r="L163" s="6"/>
      <c r="M163" s="6"/>
      <c r="N163" s="6"/>
      <c r="O163" s="6"/>
      <c r="P163" s="6"/>
      <c r="Q163" s="6"/>
      <c r="R163" s="6"/>
    </row>
    <row r="164" spans="1:19" x14ac:dyDescent="0.2">
      <c r="A164" s="149" t="s">
        <v>117</v>
      </c>
      <c r="B164" s="120"/>
      <c r="C164" s="120"/>
      <c r="D164" s="120"/>
      <c r="E164" s="120"/>
      <c r="F164" s="120"/>
      <c r="G164" s="120"/>
      <c r="H164" s="6"/>
      <c r="I164" s="6"/>
      <c r="J164" s="113"/>
      <c r="K164" s="6"/>
      <c r="L164" s="6"/>
      <c r="M164" s="6"/>
      <c r="N164" s="6"/>
      <c r="O164" s="6"/>
      <c r="P164" s="6"/>
      <c r="Q164" s="6"/>
      <c r="R164" s="6"/>
    </row>
    <row r="165" spans="1:19" x14ac:dyDescent="0.2">
      <c r="A165" s="149" t="s">
        <v>207</v>
      </c>
      <c r="B165" s="120"/>
      <c r="C165" s="120" t="s">
        <v>223</v>
      </c>
      <c r="D165" s="120"/>
      <c r="E165" s="120"/>
      <c r="F165" s="120"/>
      <c r="G165" s="120"/>
      <c r="H165" s="119"/>
      <c r="I165" s="6"/>
      <c r="J165" s="113"/>
      <c r="K165" s="6"/>
      <c r="L165" s="6"/>
      <c r="M165" s="6"/>
      <c r="N165" s="6"/>
      <c r="O165" s="6"/>
      <c r="P165" s="6"/>
      <c r="Q165" s="6"/>
      <c r="R165" s="6"/>
    </row>
    <row r="166" spans="1:19" x14ac:dyDescent="0.2">
      <c r="A166" s="149" t="s">
        <v>208</v>
      </c>
      <c r="B166" s="120"/>
      <c r="C166" s="120" t="s">
        <v>224</v>
      </c>
      <c r="D166" s="120"/>
      <c r="E166" s="120"/>
      <c r="F166" s="120"/>
      <c r="G166" s="120"/>
      <c r="H166" s="120"/>
      <c r="I166" s="6"/>
      <c r="J166" s="113"/>
      <c r="K166" s="6"/>
      <c r="L166" s="6"/>
      <c r="M166" s="6"/>
      <c r="N166" s="6"/>
      <c r="O166" s="6"/>
      <c r="P166" s="6"/>
      <c r="Q166" s="6"/>
      <c r="R166" s="6"/>
    </row>
    <row r="167" spans="1:19" x14ac:dyDescent="0.2">
      <c r="A167" s="149" t="s">
        <v>209</v>
      </c>
      <c r="B167" s="120"/>
      <c r="C167" s="120" t="s">
        <v>225</v>
      </c>
      <c r="D167" s="120"/>
      <c r="E167" s="120"/>
      <c r="F167" s="120"/>
      <c r="G167" s="120"/>
      <c r="H167" s="120"/>
      <c r="I167" s="6"/>
      <c r="J167" s="113"/>
      <c r="K167" s="6"/>
      <c r="L167" s="6"/>
      <c r="M167" s="6"/>
      <c r="N167" s="6"/>
      <c r="O167" s="6"/>
      <c r="P167" s="6"/>
      <c r="Q167" s="6"/>
      <c r="R167" s="6"/>
    </row>
    <row r="168" spans="1:19" x14ac:dyDescent="0.2">
      <c r="A168" s="149" t="s">
        <v>210</v>
      </c>
      <c r="B168" s="120"/>
      <c r="C168" s="120"/>
      <c r="D168" s="120"/>
      <c r="E168" s="120"/>
      <c r="F168" s="120"/>
      <c r="G168" s="120"/>
      <c r="H168" s="120"/>
      <c r="I168" s="6"/>
      <c r="J168" s="113"/>
      <c r="K168" s="6"/>
      <c r="L168" s="6"/>
      <c r="M168" s="6"/>
      <c r="N168" s="6"/>
      <c r="O168" s="6"/>
      <c r="P168" s="6"/>
      <c r="Q168" s="6"/>
      <c r="R168" s="6"/>
    </row>
    <row r="169" spans="1:19" x14ac:dyDescent="0.2">
      <c r="A169" s="149" t="s">
        <v>69</v>
      </c>
      <c r="B169" s="6"/>
      <c r="C169" s="6"/>
      <c r="D169" s="6"/>
      <c r="E169" s="6"/>
      <c r="F169" s="6"/>
      <c r="G169" s="6"/>
      <c r="H169" s="120"/>
      <c r="I169" s="6"/>
      <c r="J169" s="113"/>
      <c r="K169" s="6"/>
      <c r="L169" s="6"/>
      <c r="M169" s="6"/>
      <c r="N169" s="6"/>
      <c r="O169" s="6"/>
      <c r="P169" s="6"/>
      <c r="Q169" s="6"/>
      <c r="R169" s="6"/>
    </row>
    <row r="170" spans="1:19" x14ac:dyDescent="0.2">
      <c r="A170" s="149"/>
      <c r="B170" s="6"/>
      <c r="C170" s="6"/>
      <c r="D170" s="6"/>
      <c r="E170" s="6"/>
      <c r="F170" s="6"/>
      <c r="G170" s="6"/>
      <c r="H170" s="120"/>
      <c r="I170" s="6"/>
      <c r="J170" s="113"/>
      <c r="K170" s="6"/>
      <c r="L170" s="6"/>
      <c r="M170" s="6"/>
      <c r="N170" s="6"/>
      <c r="O170" s="6"/>
      <c r="P170" s="6"/>
      <c r="Q170" s="6"/>
      <c r="R170" s="6"/>
    </row>
    <row r="171" spans="1:19" x14ac:dyDescent="0.2">
      <c r="A171" s="6"/>
      <c r="B171" s="6"/>
      <c r="C171" s="6"/>
      <c r="D171" s="6"/>
      <c r="E171" s="6"/>
      <c r="F171" s="6"/>
      <c r="G171" s="6"/>
      <c r="H171" s="6"/>
      <c r="I171" s="6"/>
      <c r="J171" s="113"/>
      <c r="K171" s="6"/>
      <c r="L171" s="6"/>
      <c r="M171" s="6"/>
      <c r="N171" s="6"/>
      <c r="O171" s="6"/>
      <c r="P171" s="6"/>
      <c r="Q171" s="6"/>
      <c r="R171" s="6"/>
      <c r="S171" s="6"/>
    </row>
    <row r="172" spans="1:19" x14ac:dyDescent="0.2">
      <c r="A172" s="157" t="s">
        <v>211</v>
      </c>
      <c r="B172" s="6"/>
      <c r="C172" s="6"/>
      <c r="D172" s="6"/>
      <c r="E172" s="6"/>
      <c r="F172" s="6"/>
      <c r="G172" s="6"/>
      <c r="H172" s="6"/>
      <c r="I172" s="113"/>
      <c r="J172" s="6"/>
      <c r="K172" s="6"/>
      <c r="L172" s="6"/>
      <c r="M172" s="6"/>
      <c r="N172" s="6"/>
      <c r="O172" s="6"/>
      <c r="P172" s="6"/>
      <c r="Q172" s="6"/>
      <c r="R172" s="6"/>
      <c r="S172" s="6"/>
    </row>
    <row r="173" spans="1:19" x14ac:dyDescent="0.2">
      <c r="A173" s="121" t="s">
        <v>0</v>
      </c>
      <c r="B173" s="6"/>
      <c r="C173" s="6"/>
      <c r="D173" s="6"/>
      <c r="E173" s="6"/>
      <c r="F173" s="6"/>
      <c r="G173" s="6"/>
      <c r="H173" s="6"/>
      <c r="I173" s="6"/>
      <c r="J173" s="6"/>
      <c r="K173" s="6"/>
      <c r="L173" s="114"/>
      <c r="M173" s="6"/>
      <c r="N173" s="6"/>
      <c r="O173" s="6"/>
      <c r="P173" s="6"/>
      <c r="Q173" s="6"/>
      <c r="R173" s="6"/>
      <c r="S173" s="6"/>
    </row>
    <row r="174" spans="1:19" x14ac:dyDescent="0.2">
      <c r="A174" s="110" t="s">
        <v>147</v>
      </c>
      <c r="B174" s="111"/>
      <c r="C174" s="108"/>
      <c r="D174" s="112"/>
      <c r="E174" s="109"/>
      <c r="F174" s="109"/>
      <c r="G174" s="107"/>
      <c r="H174" s="6"/>
      <c r="I174" s="6"/>
      <c r="J174" s="6"/>
      <c r="K174" s="6"/>
      <c r="L174" s="6"/>
      <c r="M174" s="6"/>
      <c r="N174" s="6"/>
      <c r="O174" s="6"/>
      <c r="P174" s="6"/>
      <c r="Q174" s="6"/>
      <c r="R174" s="6"/>
      <c r="S174" s="6"/>
    </row>
    <row r="175" spans="1:19" x14ac:dyDescent="0.2">
      <c r="H175" s="6"/>
      <c r="I175" s="113"/>
      <c r="J175" s="122"/>
      <c r="K175" s="6"/>
      <c r="L175" s="113"/>
      <c r="M175" s="6"/>
      <c r="N175" s="6"/>
      <c r="O175" s="6"/>
      <c r="P175" s="113"/>
      <c r="Q175" s="123"/>
      <c r="R175" s="115"/>
      <c r="S175" s="115"/>
    </row>
    <row r="176" spans="1:19" x14ac:dyDescent="0.2">
      <c r="H176" s="107"/>
      <c r="I176" s="107"/>
      <c r="J176" s="107"/>
      <c r="K176" s="107"/>
      <c r="L176" s="108"/>
      <c r="M176" s="107"/>
      <c r="N176" s="107"/>
      <c r="O176" s="107"/>
      <c r="P176" s="108"/>
      <c r="Q176" s="112"/>
      <c r="R176" s="109"/>
      <c r="S176" s="109"/>
    </row>
    <row r="177" spans="1:1" x14ac:dyDescent="0.2">
      <c r="A177" s="532" t="s">
        <v>314</v>
      </c>
    </row>
    <row r="178" spans="1:1" x14ac:dyDescent="0.2">
      <c r="A178" s="5" t="s">
        <v>315</v>
      </c>
    </row>
    <row r="179" spans="1:1" x14ac:dyDescent="0.2">
      <c r="A179" s="5" t="s">
        <v>323</v>
      </c>
    </row>
    <row r="180" spans="1:1" x14ac:dyDescent="0.2">
      <c r="A180" s="5" t="s">
        <v>324</v>
      </c>
    </row>
    <row r="181" spans="1:1" x14ac:dyDescent="0.2">
      <c r="A181" s="5" t="s">
        <v>325</v>
      </c>
    </row>
    <row r="182" spans="1:1" x14ac:dyDescent="0.2">
      <c r="A182" s="5" t="s">
        <v>326</v>
      </c>
    </row>
    <row r="183" spans="1:1" x14ac:dyDescent="0.2">
      <c r="A183" s="5" t="s">
        <v>316</v>
      </c>
    </row>
    <row r="184" spans="1:1" x14ac:dyDescent="0.2">
      <c r="A184" s="5" t="s">
        <v>317</v>
      </c>
    </row>
    <row r="185" spans="1:1" x14ac:dyDescent="0.2">
      <c r="A185" s="5" t="s">
        <v>318</v>
      </c>
    </row>
    <row r="186" spans="1:1" x14ac:dyDescent="0.2">
      <c r="A186" s="5" t="s">
        <v>319</v>
      </c>
    </row>
  </sheetData>
  <mergeCells count="3">
    <mergeCell ref="V69:AA69"/>
    <mergeCell ref="Y73:AC73"/>
    <mergeCell ref="AE73:AI73"/>
  </mergeCells>
  <pageMargins left="0.7" right="0.7" top="0.75" bottom="0.75" header="0.3" footer="0.3"/>
  <pageSetup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11B138A429944D8A6AB24D9A6CBCE2" ma:contentTypeVersion="15" ma:contentTypeDescription="Create a new document." ma:contentTypeScope="" ma:versionID="ecbd8ddc4c8ba82a32a0afd030fe4089">
  <xsd:schema xmlns:xsd="http://www.w3.org/2001/XMLSchema" xmlns:xs="http://www.w3.org/2001/XMLSchema" xmlns:p="http://schemas.microsoft.com/office/2006/metadata/properties" xmlns:ns3="43d978f2-7527-499b-a4fa-8395b4c7602e" xmlns:ns4="d30f4893-9bc8-4324-a7cd-0b1ca5c091ce" targetNamespace="http://schemas.microsoft.com/office/2006/metadata/properties" ma:root="true" ma:fieldsID="45d790cb336fb34c824df6780daa49ed" ns3:_="" ns4:_="">
    <xsd:import namespace="43d978f2-7527-499b-a4fa-8395b4c7602e"/>
    <xsd:import namespace="d30f4893-9bc8-4324-a7cd-0b1ca5c091c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DateTake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d978f2-7527-499b-a4fa-8395b4c7602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0f4893-9bc8-4324-a7cd-0b1ca5c091c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26F5B4-BA97-4C05-9677-8E36B5375654}">
  <ds:schemaRefs>
    <ds:schemaRef ds:uri="http://schemas.microsoft.com/sharepoint/v3/contenttype/forms"/>
  </ds:schemaRefs>
</ds:datastoreItem>
</file>

<file path=customXml/itemProps2.xml><?xml version="1.0" encoding="utf-8"?>
<ds:datastoreItem xmlns:ds="http://schemas.openxmlformats.org/officeDocument/2006/customXml" ds:itemID="{70E5637A-B1F4-46A6-96A2-446B3ED364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d978f2-7527-499b-a4fa-8395b4c7602e"/>
    <ds:schemaRef ds:uri="d30f4893-9bc8-4324-a7cd-0b1ca5c091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A7A2C0-831C-44CB-942E-F491655F867C}">
  <ds:schemaRefs>
    <ds:schemaRef ds:uri="http://purl.org/dc/elements/1.1/"/>
    <ds:schemaRef ds:uri="43d978f2-7527-499b-a4fa-8395b4c7602e"/>
    <ds:schemaRef ds:uri="http://purl.org/dc/dcmitype/"/>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d30f4893-9bc8-4324-a7cd-0b1ca5c091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Budget</vt:lpstr>
      <vt:lpstr>Personnel Info</vt:lpstr>
      <vt:lpstr>Cost Share</vt:lpstr>
      <vt:lpstr>State of CA Exhibit B</vt:lpstr>
      <vt:lpstr>Blank State of CA Exhibit B</vt:lpstr>
      <vt:lpstr>Worksheet</vt:lpstr>
      <vt:lpstr>'Blank State of CA Exhibit B'!Print_Area</vt:lpstr>
      <vt:lpstr>Budget!Print_Area</vt:lpstr>
      <vt:lpstr>'Cost Share'!Print_Area</vt:lpstr>
      <vt:lpstr>'State of CA Exhibit 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Corey Rose</dc:creator>
  <cp:keywords/>
  <dc:description/>
  <cp:lastModifiedBy>Kendra Rose</cp:lastModifiedBy>
  <cp:revision/>
  <cp:lastPrinted>2018-02-03T00:56:08Z</cp:lastPrinted>
  <dcterms:created xsi:type="dcterms:W3CDTF">2017-11-09T20:40:31Z</dcterms:created>
  <dcterms:modified xsi:type="dcterms:W3CDTF">2026-01-22T22:32:04Z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0x0101007911B138A429944D8A6AB24D9A6CBCE2</vt:lpwstr>
  </property>
</Properties>
</file>