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255" windowHeight="7920" firstSheet="2" activeTab="6"/>
  </bookViews>
  <sheets>
    <sheet name="Example (alfalfa) &amp; Instruction" sheetId="1" r:id="rId1"/>
    <sheet name="Example (almond) &amp; Instructions" sheetId="2" r:id="rId2"/>
    <sheet name="Almonds" sheetId="3" r:id="rId3"/>
    <sheet name="Citrus" sheetId="4" r:id="rId4"/>
    <sheet name="Grapes" sheetId="5" r:id="rId5"/>
    <sheet name="Winegrapes" sheetId="6" r:id="rId6"/>
    <sheet name="Pistachio example &amp; Instruction" sheetId="7" r:id="rId7"/>
    <sheet name="Pistachio-100%" sheetId="8" r:id="rId8"/>
    <sheet name="Pistachio-70%" sheetId="9" r:id="rId9"/>
    <sheet name="Sheet2" sheetId="10" r:id="rId10"/>
    <sheet name="Sheet3" sheetId="11" r:id="rId11"/>
  </sheets>
  <definedNames>
    <definedName name="_xlnm.Print_Area" localSheetId="0">'Example (alfalfa) &amp; Instruction'!$A$1:$U$26</definedName>
    <definedName name="_xlnm.Print_Area" localSheetId="1">'Example (almond) &amp; Instructions'!$A$1:$U$26</definedName>
  </definedNames>
  <calcPr fullCalcOnLoad="1"/>
</workbook>
</file>

<file path=xl/sharedStrings.xml><?xml version="1.0" encoding="utf-8"?>
<sst xmlns="http://schemas.openxmlformats.org/spreadsheetml/2006/main" count="370" uniqueCount="78">
  <si>
    <t>SOIL TYPE:</t>
  </si>
  <si>
    <t>FIELD CAPACITY (in/ft):</t>
  </si>
  <si>
    <t>REFILL POINT (in/ft):</t>
  </si>
  <si>
    <t>ROOTING DEPTH (ft):</t>
  </si>
  <si>
    <t>NORMAL RUN TIME (hrs):</t>
  </si>
  <si>
    <t>WETTED VOLUME (%):</t>
  </si>
  <si>
    <t>21' x 24'</t>
  </si>
  <si>
    <t>2, 10.7 gph Fanjets</t>
  </si>
  <si>
    <t>Total Avail @ 100% (in):</t>
  </si>
  <si>
    <t>WET AREA APPLIC (in):</t>
  </si>
  <si>
    <t>NUMBER of SETS:</t>
  </si>
  <si>
    <t>TOTAL AREA APPLIC (in):</t>
  </si>
  <si>
    <t>AREA/ TREE (sq ft):</t>
  </si>
  <si>
    <t>Milham/ Panoche sandy clay loam</t>
  </si>
  <si>
    <t>IRRIG. SYSTEM:</t>
  </si>
  <si>
    <t>Week Ending:</t>
  </si>
  <si>
    <t>Estimated Soil Moisture (% available):</t>
  </si>
  <si>
    <t>Estimated Soil Moisture Depletion or Excess (in):</t>
  </si>
  <si>
    <t>Cumulative Deficit or Surplus (hrs):</t>
  </si>
  <si>
    <t>ROW SPAC-ING:</t>
  </si>
  <si>
    <t>DESIGN FLOW (gph/ tree):</t>
  </si>
  <si>
    <t>Actual Soil Moisture 
(% available):</t>
  </si>
  <si>
    <t>VIGOR FACTOR</t>
  </si>
  <si>
    <t>Block ET (in/week):</t>
  </si>
  <si>
    <t>1st Qtr</t>
  </si>
  <si>
    <t>2nd Qtr</t>
  </si>
  <si>
    <t>3rd Qtr</t>
  </si>
  <si>
    <t>4th Qtr</t>
  </si>
  <si>
    <t>CITRUS</t>
  </si>
  <si>
    <t>ALMOND</t>
  </si>
  <si>
    <t>20' x 20'</t>
  </si>
  <si>
    <t>1, 10.7 gph Fanjets</t>
  </si>
  <si>
    <t>PISTACHIO</t>
  </si>
  <si>
    <t>52.3 INCHES "NORMAL YEAR" ET</t>
  </si>
  <si>
    <t>39.5 INCHES "NORMAL YEAR" ET</t>
  </si>
  <si>
    <t>GRAPES -- LATE SEASON GABLE TRELLIS</t>
  </si>
  <si>
    <t>50.0 INCHES "NORMAL YEAR" ET</t>
  </si>
  <si>
    <t>4, 1 gph drips</t>
  </si>
  <si>
    <t>"Normal Yr" ET:</t>
  </si>
  <si>
    <t>7' x 11'</t>
  </si>
  <si>
    <t>2, 1 gph drip</t>
  </si>
  <si>
    <t>Cajon sandy loam</t>
  </si>
  <si>
    <t>Rootzone WETTED VOLUME (%):</t>
  </si>
  <si>
    <t>ALMOND EXAMPLE</t>
  </si>
  <si>
    <t>Soil Moisture Depletion (in)</t>
  </si>
  <si>
    <t>TOTAL Irrig (in)</t>
  </si>
  <si>
    <t>44.3 INCHES "NORMAL YEAR" ET</t>
  </si>
  <si>
    <t>for Quarter</t>
  </si>
  <si>
    <t>TOTAL ET
(inches)</t>
  </si>
  <si>
    <t>Pivot Length (ft):</t>
  </si>
  <si>
    <t>Pivot Flowrate (gpm):</t>
  </si>
  <si>
    <t>Field Area (acres):</t>
  </si>
  <si>
    <t>55 INCHES "NORMAL YEAR" ET</t>
  </si>
  <si>
    <t>ALFALFA PIVOT EXAMPLE SJV</t>
  </si>
  <si>
    <t>Use "Normal Year" ET estimates (assumes a 28 day cut schedule starting 4/7 below or enter your own.  Change calendar interval to days or months if prefered.</t>
  </si>
  <si>
    <t>Normal year crop ET for all quarters</t>
  </si>
  <si>
    <t>Use "Normal Year" ET estimates below (just cut and paste into rows 5 &amp; 6 to the left for the appropriate quarter) or enter your own.  Change calendar interval to days or months if prefered.</t>
  </si>
  <si>
    <t>Week</t>
  </si>
  <si>
    <t>Kern ETo</t>
  </si>
  <si>
    <t>Crop Coeff.</t>
  </si>
  <si>
    <t>Weekly ET</t>
  </si>
  <si>
    <t>Gals/wk/vine</t>
  </si>
  <si>
    <t>(Kc)</t>
  </si>
  <si>
    <t>(inch)</t>
  </si>
  <si>
    <t>(100% Effic)</t>
  </si>
  <si>
    <t>(85% Effic)</t>
  </si>
  <si>
    <t>TOTALS</t>
  </si>
  <si>
    <t>(gal)</t>
  </si>
  <si>
    <t>TOTAL</t>
  </si>
  <si>
    <t>WINEGRAPES -- SSJV TRADITIONAL BOX PRUNE</t>
  </si>
  <si>
    <t>23.4 INCHES "NORMAL YEAR" ET</t>
  </si>
  <si>
    <t>17' X 20'</t>
  </si>
  <si>
    <t>Run Time to Refill for Week (hrs/set):</t>
  </si>
  <si>
    <t>Actual Run (hrs/set):</t>
  </si>
  <si>
    <t>FIELD:</t>
  </si>
  <si>
    <t xml:space="preserve">   P102</t>
  </si>
  <si>
    <t xml:space="preserve">   P110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</si>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</sst>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\ %"/>
    <numFmt numFmtId="166" formatCode="m/d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[$-409]dddd\,\ mmmm\ dd\,\ yyyy"/>
    <numFmt numFmtId="173" formatCode="[$-409]h:mm:ss\ AM/PM"/>
  </numFmts>
  <fonts count="6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Geneva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9" fontId="5" fillId="0" borderId="14" xfId="6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2" fontId="3" fillId="0" borderId="16" xfId="0" applyNumberFormat="1" applyFont="1" applyBorder="1" applyAlignment="1">
      <alignment/>
    </xf>
    <xf numFmtId="9" fontId="3" fillId="33" borderId="16" xfId="60" applyFont="1" applyFill="1" applyBorder="1" applyAlignment="1">
      <alignment horizontal="center" vertical="center"/>
    </xf>
    <xf numFmtId="9" fontId="3" fillId="33" borderId="17" xfId="6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9" fontId="9" fillId="33" borderId="18" xfId="60" applyFont="1" applyFill="1" applyBorder="1" applyAlignment="1">
      <alignment vertical="center" wrapText="1"/>
    </xf>
    <xf numFmtId="0" fontId="1" fillId="33" borderId="19" xfId="0" applyFont="1" applyFill="1" applyBorder="1" applyAlignment="1">
      <alignment horizontal="left" vertical="center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9" fontId="5" fillId="33" borderId="20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wrapText="1"/>
    </xf>
    <xf numFmtId="9" fontId="3" fillId="33" borderId="0" xfId="6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9" fontId="3" fillId="0" borderId="0" xfId="6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22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4" fillId="34" borderId="25" xfId="0" applyFont="1" applyFill="1" applyBorder="1" applyAlignment="1">
      <alignment horizontal="right"/>
    </xf>
    <xf numFmtId="166" fontId="5" fillId="34" borderId="26" xfId="0" applyNumberFormat="1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4" fillId="35" borderId="25" xfId="0" applyFont="1" applyFill="1" applyBorder="1" applyAlignment="1">
      <alignment horizontal="right"/>
    </xf>
    <xf numFmtId="166" fontId="5" fillId="35" borderId="26" xfId="0" applyNumberFormat="1" applyFont="1" applyFill="1" applyBorder="1" applyAlignment="1">
      <alignment horizontal="right"/>
    </xf>
    <xf numFmtId="0" fontId="0" fillId="35" borderId="15" xfId="0" applyFill="1" applyBorder="1" applyAlignment="1">
      <alignment/>
    </xf>
    <xf numFmtId="0" fontId="4" fillId="35" borderId="16" xfId="0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166" fontId="5" fillId="36" borderId="26" xfId="0" applyNumberFormat="1" applyFont="1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2" fontId="7" fillId="36" borderId="0" xfId="0" applyNumberFormat="1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166" fontId="7" fillId="0" borderId="0" xfId="57" applyNumberFormat="1" applyFont="1" applyAlignment="1">
      <alignment horizontal="right"/>
      <protection/>
    </xf>
    <xf numFmtId="2" fontId="10" fillId="0" borderId="0" xfId="0" applyNumberFormat="1" applyFont="1" applyAlignment="1">
      <alignment horizontal="center"/>
    </xf>
    <xf numFmtId="2" fontId="10" fillId="0" borderId="0" xfId="6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5" fillId="33" borderId="20" xfId="0" applyNumberFormat="1" applyFont="1" applyFill="1" applyBorder="1" applyAlignment="1">
      <alignment horizontal="center" vertical="center"/>
    </xf>
    <xf numFmtId="2" fontId="0" fillId="36" borderId="0" xfId="0" applyNumberForma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17" xfId="0" applyFont="1" applyBorder="1" applyAlignment="1">
      <alignment horizontal="center" wrapText="1"/>
    </xf>
    <xf numFmtId="166" fontId="0" fillId="0" borderId="0" xfId="0" applyNumberFormat="1" applyFont="1" applyAlignment="1">
      <alignment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4" fillId="0" borderId="31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6" fontId="4" fillId="0" borderId="24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/>
    </xf>
    <xf numFmtId="2" fontId="4" fillId="0" borderId="25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2" fillId="34" borderId="25" xfId="0" applyFont="1" applyFill="1" applyBorder="1" applyAlignment="1">
      <alignment horizontal="right"/>
    </xf>
    <xf numFmtId="166" fontId="13" fillId="34" borderId="26" xfId="0" applyNumberFormat="1" applyFont="1" applyFill="1" applyBorder="1" applyAlignment="1">
      <alignment horizontal="right"/>
    </xf>
    <xf numFmtId="166" fontId="13" fillId="0" borderId="0" xfId="0" applyNumberFormat="1" applyFont="1" applyAlignment="1">
      <alignment horizontal="center"/>
    </xf>
    <xf numFmtId="2" fontId="14" fillId="34" borderId="0" xfId="0" applyNumberFormat="1" applyFont="1" applyFill="1" applyBorder="1" applyAlignment="1">
      <alignment horizontal="right"/>
    </xf>
    <xf numFmtId="0" fontId="0" fillId="34" borderId="32" xfId="0" applyFill="1" applyBorder="1" applyAlignment="1">
      <alignment/>
    </xf>
    <xf numFmtId="0" fontId="12" fillId="34" borderId="11" xfId="0" applyFont="1" applyFill="1" applyBorder="1" applyAlignment="1">
      <alignment horizontal="right"/>
    </xf>
    <xf numFmtId="2" fontId="9" fillId="0" borderId="17" xfId="0" applyNumberFormat="1" applyFont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5" fillId="34" borderId="16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7" xfId="0" applyBorder="1" applyAlignment="1">
      <alignment/>
    </xf>
    <xf numFmtId="0" fontId="10" fillId="0" borderId="15" xfId="0" applyFont="1" applyBorder="1" applyAlignment="1">
      <alignment/>
    </xf>
    <xf numFmtId="2" fontId="16" fillId="0" borderId="0" xfId="0" applyNumberFormat="1" applyFont="1" applyAlignment="1">
      <alignment horizontal="center"/>
    </xf>
    <xf numFmtId="0" fontId="5" fillId="36" borderId="11" xfId="0" applyFont="1" applyFill="1" applyBorder="1" applyAlignment="1">
      <alignment horizontal="right" wrapText="1"/>
    </xf>
    <xf numFmtId="0" fontId="4" fillId="36" borderId="11" xfId="0" applyFont="1" applyFill="1" applyBorder="1" applyAlignment="1">
      <alignment wrapText="1"/>
    </xf>
    <xf numFmtId="0" fontId="4" fillId="36" borderId="0" xfId="0" applyFont="1" applyFill="1" applyAlignment="1">
      <alignment wrapText="1"/>
    </xf>
    <xf numFmtId="166" fontId="0" fillId="35" borderId="0" xfId="0" applyNumberFormat="1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33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34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3" fillId="33" borderId="15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wrapText="1"/>
    </xf>
    <xf numFmtId="2" fontId="4" fillId="0" borderId="3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ist ET tab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38100</xdr:rowOff>
    </xdr:from>
    <xdr:to>
      <xdr:col>1</xdr:col>
      <xdr:colOff>895350</xdr:colOff>
      <xdr:row>2</xdr:row>
      <xdr:rowOff>276225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4775" y="361950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12-2</a:t>
          </a:r>
        </a:p>
      </xdr:txBody>
    </xdr:sp>
    <xdr:clientData/>
  </xdr:twoCellAnchor>
  <xdr:twoCellAnchor>
    <xdr:from>
      <xdr:col>4</xdr:col>
      <xdr:colOff>466725</xdr:colOff>
      <xdr:row>8</xdr:row>
      <xdr:rowOff>85725</xdr:rowOff>
    </xdr:from>
    <xdr:to>
      <xdr:col>6</xdr:col>
      <xdr:colOff>142875</xdr:colOff>
      <xdr:row>9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048000" y="2924175"/>
          <a:ext cx="742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CUT/BALE</a:t>
          </a:r>
        </a:p>
      </xdr:txBody>
    </xdr:sp>
    <xdr:clientData/>
  </xdr:twoCellAnchor>
  <xdr:twoCellAnchor>
    <xdr:from>
      <xdr:col>8</xdr:col>
      <xdr:colOff>514350</xdr:colOff>
      <xdr:row>8</xdr:row>
      <xdr:rowOff>104775</xdr:rowOff>
    </xdr:from>
    <xdr:to>
      <xdr:col>10</xdr:col>
      <xdr:colOff>152400</xdr:colOff>
      <xdr:row>9</xdr:row>
      <xdr:rowOff>19050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5238750" y="2943225"/>
          <a:ext cx="742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CUT/BALE</a:t>
          </a:r>
        </a:p>
      </xdr:txBody>
    </xdr:sp>
    <xdr:clientData/>
  </xdr:twoCellAnchor>
  <xdr:twoCellAnchor>
    <xdr:from>
      <xdr:col>12</xdr:col>
      <xdr:colOff>419100</xdr:colOff>
      <xdr:row>8</xdr:row>
      <xdr:rowOff>104775</xdr:rowOff>
    </xdr:from>
    <xdr:to>
      <xdr:col>14</xdr:col>
      <xdr:colOff>133350</xdr:colOff>
      <xdr:row>9</xdr:row>
      <xdr:rowOff>19050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7410450" y="2943225"/>
          <a:ext cx="742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CUT/BALE</a:t>
          </a:r>
        </a:p>
      </xdr:txBody>
    </xdr:sp>
    <xdr:clientData/>
  </xdr:twoCellAnchor>
  <xdr:twoCellAnchor>
    <xdr:from>
      <xdr:col>16</xdr:col>
      <xdr:colOff>47625</xdr:colOff>
      <xdr:row>0</xdr:row>
      <xdr:rowOff>104775</xdr:rowOff>
    </xdr:from>
    <xdr:to>
      <xdr:col>22</xdr:col>
      <xdr:colOff>228600</xdr:colOff>
      <xdr:row>3</xdr:row>
      <xdr:rowOff>590550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439275" y="104775"/>
          <a:ext cx="35433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system data here in yellow cells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White cells are calculated automatically.  Do not change these.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Consult soil survey for FIELD CAPACITY and REFILL (or permanent wilting) POINT.  Use soil probe, auger or backhoe to determine WETTED VOLUME.  This number represents the % of total volume of the orchard acreage that gets water -- not just the wetted area on the surface.  Flood = 100%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For flood you can substitute average infiltration rate in inches/hr x area/tree x 0.623 = gph/tree.</a:t>
          </a:r>
        </a:p>
      </xdr:txBody>
    </xdr:sp>
    <xdr:clientData/>
  </xdr:twoCellAnchor>
  <xdr:twoCellAnchor>
    <xdr:from>
      <xdr:col>16</xdr:col>
      <xdr:colOff>47625</xdr:colOff>
      <xdr:row>7</xdr:row>
      <xdr:rowOff>66675</xdr:rowOff>
    </xdr:from>
    <xdr:to>
      <xdr:col>22</xdr:col>
      <xdr:colOff>228600</xdr:colOff>
      <xdr:row>9</xdr:row>
      <xdr:rowOff>171450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439275" y="2552700"/>
          <a:ext cx="35433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ACTUAL RUN HOURS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the week in yellow boxes.  Use above RUN TIME TO REFILL numbers above in row 8 as a guide to get close.  DEFICIT hours show below as a "-" and SURPLUS (which will become leaching) are positive</a:t>
          </a:r>
        </a:p>
      </xdr:txBody>
    </xdr:sp>
    <xdr:clientData/>
  </xdr:twoCellAnchor>
  <xdr:twoCellAnchor>
    <xdr:from>
      <xdr:col>16</xdr:col>
      <xdr:colOff>47625</xdr:colOff>
      <xdr:row>10</xdr:row>
      <xdr:rowOff>266700</xdr:rowOff>
    </xdr:from>
    <xdr:to>
      <xdr:col>21</xdr:col>
      <xdr:colOff>200025</xdr:colOff>
      <xdr:row>11</xdr:row>
      <xdr:rowOff>371475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439275" y="3762375"/>
          <a:ext cx="2905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remaining SOIL MOISTURE reserve (% AVAILABLE) is calculated here.  Above 60% is usually adequate.</a:t>
          </a:r>
        </a:p>
      </xdr:txBody>
    </xdr:sp>
    <xdr:clientData/>
  </xdr:twoCellAnchor>
  <xdr:twoCellAnchor>
    <xdr:from>
      <xdr:col>16</xdr:col>
      <xdr:colOff>9525</xdr:colOff>
      <xdr:row>11</xdr:row>
      <xdr:rowOff>390525</xdr:rowOff>
    </xdr:from>
    <xdr:to>
      <xdr:col>22</xdr:col>
      <xdr:colOff>161925</xdr:colOff>
      <xdr:row>14</xdr:row>
      <xdr:rowOff>142875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9401175" y="4286250"/>
          <a:ext cx="35147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REAL-TIME SOIL MOISTURE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sensors, hand-feel or equivalent estimate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for the whole rootzone to recalibrate schedule calculations to actual field conditions.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38100</xdr:rowOff>
    </xdr:from>
    <xdr:to>
      <xdr:col>1</xdr:col>
      <xdr:colOff>895350</xdr:colOff>
      <xdr:row>2</xdr:row>
      <xdr:rowOff>276225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4775" y="361950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12-2</a:t>
          </a:r>
        </a:p>
      </xdr:txBody>
    </xdr:sp>
    <xdr:clientData/>
  </xdr:twoCellAnchor>
  <xdr:twoCellAnchor>
    <xdr:from>
      <xdr:col>16</xdr:col>
      <xdr:colOff>0</xdr:colOff>
      <xdr:row>0</xdr:row>
      <xdr:rowOff>190500</xdr:rowOff>
    </xdr:from>
    <xdr:to>
      <xdr:col>22</xdr:col>
      <xdr:colOff>180975</xdr:colOff>
      <xdr:row>3</xdr:row>
      <xdr:rowOff>676275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172575" y="190500"/>
          <a:ext cx="3543300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system data here in yellow cells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White cells are calculated automatically.  Do not change these.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Consult soil survey for FIELD CAPACITY and REFILL (or permanent wilting) POINT.  Use soil probe, auger or backhoe to determine WETTED VOLUME.  This number represents the % of total volume of the orchard acreage that gets water -- not just the wetted area on the surface.  Flood = 100%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For flood you can substitute average infiltration rate in inches/hr x area/tree x 0.623 = gph/tree.</a:t>
          </a:r>
        </a:p>
      </xdr:txBody>
    </xdr:sp>
    <xdr:clientData/>
  </xdr:twoCellAnchor>
  <xdr:twoCellAnchor>
    <xdr:from>
      <xdr:col>16</xdr:col>
      <xdr:colOff>0</xdr:colOff>
      <xdr:row>7</xdr:row>
      <xdr:rowOff>85725</xdr:rowOff>
    </xdr:from>
    <xdr:to>
      <xdr:col>22</xdr:col>
      <xdr:colOff>180975</xdr:colOff>
      <xdr:row>9</xdr:row>
      <xdr:rowOff>190500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9172575" y="2638425"/>
          <a:ext cx="35433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ACTUAL RUN HOURS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the week in yellow boxes.  Use above RUN TIME TO REFILL numbers above in row 8 as a guide to get close.  DEFICIT hours show below as a "-" and SURPLUS (which will become leaching) are positive</a:t>
          </a:r>
        </a:p>
      </xdr:txBody>
    </xdr:sp>
    <xdr:clientData/>
  </xdr:twoCellAnchor>
  <xdr:twoCellAnchor>
    <xdr:from>
      <xdr:col>16</xdr:col>
      <xdr:colOff>0</xdr:colOff>
      <xdr:row>10</xdr:row>
      <xdr:rowOff>285750</xdr:rowOff>
    </xdr:from>
    <xdr:to>
      <xdr:col>21</xdr:col>
      <xdr:colOff>152400</xdr:colOff>
      <xdr:row>11</xdr:row>
      <xdr:rowOff>390525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172575" y="3848100"/>
          <a:ext cx="2905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remaining SOIL MOISTURE reserve (% AVAILABLE) is calculated here.  Above 60% is usually adequate.</a:t>
          </a:r>
        </a:p>
      </xdr:txBody>
    </xdr:sp>
    <xdr:clientData/>
  </xdr:twoCellAnchor>
  <xdr:twoCellAnchor>
    <xdr:from>
      <xdr:col>15</xdr:col>
      <xdr:colOff>819150</xdr:colOff>
      <xdr:row>12</xdr:row>
      <xdr:rowOff>9525</xdr:rowOff>
    </xdr:from>
    <xdr:to>
      <xdr:col>22</xdr:col>
      <xdr:colOff>114300</xdr:colOff>
      <xdr:row>15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134475" y="4371975"/>
          <a:ext cx="35147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REAL-TIME SOIL MOISTURE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sensors, hand-feel or equivalent estimate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for the whole rootzone to recalibrate schedule calculations to actual field conditions. </a:t>
          </a:r>
        </a:p>
      </xdr:txBody>
    </xdr:sp>
    <xdr:clientData/>
  </xdr:twoCellAnchor>
  <xdr:twoCellAnchor>
    <xdr:from>
      <xdr:col>7</xdr:col>
      <xdr:colOff>28575</xdr:colOff>
      <xdr:row>8</xdr:row>
      <xdr:rowOff>152400</xdr:rowOff>
    </xdr:from>
    <xdr:to>
      <xdr:col>8</xdr:col>
      <xdr:colOff>457200</xdr:colOff>
      <xdr:row>9</xdr:row>
      <xdr:rowOff>57150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219575" y="3057525"/>
          <a:ext cx="990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HARVEST</a:t>
          </a:r>
        </a:p>
      </xdr:txBody>
    </xdr:sp>
    <xdr:clientData/>
  </xdr:twoCellAnchor>
  <xdr:twoCellAnchor>
    <xdr:from>
      <xdr:col>11</xdr:col>
      <xdr:colOff>390525</xdr:colOff>
      <xdr:row>8</xdr:row>
      <xdr:rowOff>133350</xdr:rowOff>
    </xdr:from>
    <xdr:to>
      <xdr:col>13</xdr:col>
      <xdr:colOff>114300</xdr:colOff>
      <xdr:row>9</xdr:row>
      <xdr:rowOff>28575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696075" y="3038475"/>
          <a:ext cx="704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HARVEST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38100</xdr:rowOff>
    </xdr:from>
    <xdr:to>
      <xdr:col>1</xdr:col>
      <xdr:colOff>895350</xdr:colOff>
      <xdr:row>2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4775" y="361950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38100</xdr:rowOff>
    </xdr:from>
    <xdr:to>
      <xdr:col>1</xdr:col>
      <xdr:colOff>895350</xdr:colOff>
      <xdr:row>2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352425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13-3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38100</xdr:rowOff>
    </xdr:from>
    <xdr:to>
      <xdr:col>1</xdr:col>
      <xdr:colOff>895350</xdr:colOff>
      <xdr:row>2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352425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38100</xdr:rowOff>
    </xdr:from>
    <xdr:to>
      <xdr:col>1</xdr:col>
      <xdr:colOff>895350</xdr:colOff>
      <xdr:row>2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447675"/>
          <a:ext cx="1400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_____</a:t>
          </a:r>
        </a:p>
      </xdr:txBody>
    </xdr:sp>
    <xdr:clientData/>
  </xdr:twoCellAnchor>
  <xdr:twoCellAnchor>
    <xdr:from>
      <xdr:col>22</xdr:col>
      <xdr:colOff>209550</xdr:colOff>
      <xdr:row>4</xdr:row>
      <xdr:rowOff>66675</xdr:rowOff>
    </xdr:from>
    <xdr:to>
      <xdr:col>25</xdr:col>
      <xdr:colOff>342900</xdr:colOff>
      <xdr:row>9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963525" y="1809750"/>
          <a:ext cx="19621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WINE GRAPES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(Irrigated at 50% of ETo starting June 1 to end of September)</a:t>
          </a:r>
        </a:p>
      </xdr:txBody>
    </xdr:sp>
    <xdr:clientData/>
  </xdr:twoCellAnchor>
  <xdr:twoCellAnchor>
    <xdr:from>
      <xdr:col>22</xdr:col>
      <xdr:colOff>209550</xdr:colOff>
      <xdr:row>4</xdr:row>
      <xdr:rowOff>66675</xdr:rowOff>
    </xdr:from>
    <xdr:to>
      <xdr:col>25</xdr:col>
      <xdr:colOff>342900</xdr:colOff>
      <xdr:row>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963525" y="1809750"/>
          <a:ext cx="19621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WINE GRAPES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(Irrigated at 50% of ETo starting June 1 to end of September)</a:t>
          </a:r>
        </a:p>
      </xdr:txBody>
    </xdr:sp>
    <xdr:clientData/>
  </xdr:twoCellAnchor>
  <xdr:twoCellAnchor>
    <xdr:from>
      <xdr:col>16</xdr:col>
      <xdr:colOff>47625</xdr:colOff>
      <xdr:row>10</xdr:row>
      <xdr:rowOff>266700</xdr:rowOff>
    </xdr:from>
    <xdr:to>
      <xdr:col>20</xdr:col>
      <xdr:colOff>514350</xdr:colOff>
      <xdr:row>11</xdr:row>
      <xdr:rowOff>371475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144000" y="3876675"/>
          <a:ext cx="2905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remaining SOIL MOISTURE reserve (% AVAILABLE) is calculated here.  30-50% available desirable mid-season range for winegrapes.</a:t>
          </a:r>
        </a:p>
      </xdr:txBody>
    </xdr:sp>
    <xdr:clientData/>
  </xdr:twoCellAnchor>
  <xdr:twoCellAnchor>
    <xdr:from>
      <xdr:col>16</xdr:col>
      <xdr:colOff>9525</xdr:colOff>
      <xdr:row>11</xdr:row>
      <xdr:rowOff>390525</xdr:rowOff>
    </xdr:from>
    <xdr:to>
      <xdr:col>21</xdr:col>
      <xdr:colOff>476250</xdr:colOff>
      <xdr:row>14</xdr:row>
      <xdr:rowOff>142875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105900" y="4400550"/>
          <a:ext cx="35147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REAL-TIME SOIL MOISTURE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sensors, hand-feel or equivalent estimate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for the whole rootzone to recalibrate schedule calculations to actual field conditions.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190500</xdr:rowOff>
    </xdr:from>
    <xdr:to>
      <xdr:col>22</xdr:col>
      <xdr:colOff>180975</xdr:colOff>
      <xdr:row>3</xdr:row>
      <xdr:rowOff>600075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096375" y="190500"/>
          <a:ext cx="35433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system data here in yellow cells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White cells are calculated automatically.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Consult soil survey for FIELD CAPACITY and REFILL (or permanent wilting) POINT.  Use soil probe, auger or backhoe to determine WETTED VOLUME.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For flood you can substitute (average infiltration rate in inches/hr x area/tree x 0.623 = gph/tree.</a:t>
          </a:r>
        </a:p>
      </xdr:txBody>
    </xdr:sp>
    <xdr:clientData/>
  </xdr:twoCellAnchor>
  <xdr:twoCellAnchor>
    <xdr:from>
      <xdr:col>16</xdr:col>
      <xdr:colOff>0</xdr:colOff>
      <xdr:row>7</xdr:row>
      <xdr:rowOff>85725</xdr:rowOff>
    </xdr:from>
    <xdr:to>
      <xdr:col>22</xdr:col>
      <xdr:colOff>180975</xdr:colOff>
      <xdr:row>9</xdr:row>
      <xdr:rowOff>381000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096375" y="2590800"/>
          <a:ext cx="3543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ACTUAL RUN HOURS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yellow boxes.  Use above RUN TIME TO REFILL numbers above as a guide to get close.  DEFICIT hours show below as a "-" and SURPLUS (which will become leaching) are positive</a:t>
          </a:r>
        </a:p>
      </xdr:txBody>
    </xdr:sp>
    <xdr:clientData/>
  </xdr:twoCellAnchor>
  <xdr:twoCellAnchor>
    <xdr:from>
      <xdr:col>16</xdr:col>
      <xdr:colOff>0</xdr:colOff>
      <xdr:row>11</xdr:row>
      <xdr:rowOff>38100</xdr:rowOff>
    </xdr:from>
    <xdr:to>
      <xdr:col>21</xdr:col>
      <xdr:colOff>152400</xdr:colOff>
      <xdr:row>11</xdr:row>
      <xdr:rowOff>390525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9096375" y="3952875"/>
          <a:ext cx="2905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remaining SOIL MOISTURE reserve (% AVAILABLE) is calculated here.</a:t>
          </a:r>
        </a:p>
      </xdr:txBody>
    </xdr:sp>
    <xdr:clientData/>
  </xdr:twoCellAnchor>
  <xdr:twoCellAnchor>
    <xdr:from>
      <xdr:col>15</xdr:col>
      <xdr:colOff>819150</xdr:colOff>
      <xdr:row>12</xdr:row>
      <xdr:rowOff>9525</xdr:rowOff>
    </xdr:from>
    <xdr:to>
      <xdr:col>22</xdr:col>
      <xdr:colOff>114300</xdr:colOff>
      <xdr:row>16</xdr:row>
      <xdr:rowOff>95250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9058275" y="4324350"/>
          <a:ext cx="35147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REAL-TIME SOIL MOISTURE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sensor, hand-feel or equivalent estimate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%Available</a:t>
          </a:r>
        </a:p>
      </xdr:txBody>
    </xdr:sp>
    <xdr:clientData/>
  </xdr:twoCellAnchor>
  <xdr:twoCellAnchor>
    <xdr:from>
      <xdr:col>16</xdr:col>
      <xdr:colOff>0</xdr:colOff>
      <xdr:row>0</xdr:row>
      <xdr:rowOff>190500</xdr:rowOff>
    </xdr:from>
    <xdr:to>
      <xdr:col>22</xdr:col>
      <xdr:colOff>180975</xdr:colOff>
      <xdr:row>3</xdr:row>
      <xdr:rowOff>676275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096375" y="190500"/>
          <a:ext cx="35433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system data here in yellow cells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White cells are calculated automatically.  Do not change these.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Consult soil survey for FIELD CAPACITY and REFILL (or permanent wilting) POINT.  Use soil probe, auger or backhoe to determine WETTED VOLUME.  This number represents the % of total volume of the orchard acreage that gets water -- not just the wetted area on the surface.  Flood = 100%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For flood you can substitute average infiltration rate in inches/hr x area/tree x 0.623 = gph/tree.</a:t>
          </a:r>
        </a:p>
      </xdr:txBody>
    </xdr:sp>
    <xdr:clientData/>
  </xdr:twoCellAnchor>
  <xdr:twoCellAnchor>
    <xdr:from>
      <xdr:col>16</xdr:col>
      <xdr:colOff>0</xdr:colOff>
      <xdr:row>7</xdr:row>
      <xdr:rowOff>85725</xdr:rowOff>
    </xdr:from>
    <xdr:to>
      <xdr:col>22</xdr:col>
      <xdr:colOff>180975</xdr:colOff>
      <xdr:row>9</xdr:row>
      <xdr:rowOff>190500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096375" y="2590800"/>
          <a:ext cx="35433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ACTUAL RUN HOURS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the week in yellow boxes.  Use above RUN TIME TO REFILL numbers above in row 8 as a guide to get close.  DEFICIT hours show below as a "-" and SURPLUS (which will become leaching) are positive</a:t>
          </a:r>
        </a:p>
      </xdr:txBody>
    </xdr:sp>
    <xdr:clientData/>
  </xdr:twoCellAnchor>
  <xdr:twoCellAnchor>
    <xdr:from>
      <xdr:col>16</xdr:col>
      <xdr:colOff>0</xdr:colOff>
      <xdr:row>10</xdr:row>
      <xdr:rowOff>285750</xdr:rowOff>
    </xdr:from>
    <xdr:to>
      <xdr:col>21</xdr:col>
      <xdr:colOff>152400</xdr:colOff>
      <xdr:row>11</xdr:row>
      <xdr:rowOff>390525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096375" y="3800475"/>
          <a:ext cx="2905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remaining SOIL MOISTURE reserve (% AVAILABLE) is calculated here.  Above 60% is usually adequate.</a:t>
          </a:r>
        </a:p>
      </xdr:txBody>
    </xdr:sp>
    <xdr:clientData/>
  </xdr:twoCellAnchor>
  <xdr:twoCellAnchor>
    <xdr:from>
      <xdr:col>15</xdr:col>
      <xdr:colOff>819150</xdr:colOff>
      <xdr:row>12</xdr:row>
      <xdr:rowOff>9525</xdr:rowOff>
    </xdr:from>
    <xdr:to>
      <xdr:col>22</xdr:col>
      <xdr:colOff>114300</xdr:colOff>
      <xdr:row>18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9058275" y="4324350"/>
          <a:ext cx="35147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REAL-TIME SOIL MOISTURE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sensors, hand-feel or equivalent estimate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for the whole rootzone to recalibrate schedule calculations to actual field conditions.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342900</xdr:rowOff>
    </xdr:from>
    <xdr:to>
      <xdr:col>15</xdr:col>
      <xdr:colOff>695325</xdr:colOff>
      <xdr:row>15</xdr:row>
      <xdr:rowOff>133350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5419725" y="4629150"/>
          <a:ext cx="35147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REAL-TIME SOIL MOISTURE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sensor, hand-feel or equivalent estimate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%Available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2</xdr:row>
      <xdr:rowOff>104775</xdr:rowOff>
    </xdr:from>
    <xdr:to>
      <xdr:col>19</xdr:col>
      <xdr:colOff>542925</xdr:colOff>
      <xdr:row>2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96400" y="419100"/>
          <a:ext cx="2171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Field (no.)________</a:t>
          </a:r>
        </a:p>
      </xdr:txBody>
    </xdr:sp>
    <xdr:clientData/>
  </xdr:twoCellAnchor>
  <xdr:twoCellAnchor>
    <xdr:from>
      <xdr:col>9</xdr:col>
      <xdr:colOff>200025</xdr:colOff>
      <xdr:row>12</xdr:row>
      <xdr:rowOff>361950</xdr:rowOff>
    </xdr:from>
    <xdr:to>
      <xdr:col>15</xdr:col>
      <xdr:colOff>742950</xdr:colOff>
      <xdr:row>15</xdr:row>
      <xdr:rowOff>76200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467350" y="4648200"/>
          <a:ext cx="3514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REAL-TIME SOIL MOISTURE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sensor, hand-feel or equivalent estimate of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A8" sqref="A8:B9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7.7109375" style="0" customWidth="1"/>
    <col min="8" max="8" width="8.421875" style="0" customWidth="1"/>
    <col min="9" max="9" width="8.8515625" style="0" customWidth="1"/>
    <col min="10" max="10" width="7.7109375" style="0" customWidth="1"/>
    <col min="11" max="11" width="9.57421875" style="0" customWidth="1"/>
    <col min="12" max="12" width="7.8515625" style="0" customWidth="1"/>
    <col min="13" max="15" width="7.7109375" style="0" customWidth="1"/>
    <col min="16" max="16" width="12.8515625" style="0" customWidth="1"/>
    <col min="21" max="21" width="4.7109375" style="0" customWidth="1"/>
  </cols>
  <sheetData>
    <row r="1" spans="1:7" ht="20.25">
      <c r="A1" s="32" t="s">
        <v>53</v>
      </c>
      <c r="G1" s="40" t="s">
        <v>52</v>
      </c>
    </row>
    <row r="2" ht="5.25" customHeight="1" thickBot="1"/>
    <row r="3" spans="1:15" s="1" customFormat="1" ht="51.75" customHeight="1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49</v>
      </c>
      <c r="G3" s="8"/>
      <c r="H3" s="8" t="s">
        <v>4</v>
      </c>
      <c r="I3" s="8" t="s">
        <v>42</v>
      </c>
      <c r="J3" s="9" t="s">
        <v>8</v>
      </c>
      <c r="K3" s="8" t="s">
        <v>51</v>
      </c>
      <c r="L3" s="8" t="s">
        <v>50</v>
      </c>
      <c r="M3" s="8" t="s">
        <v>9</v>
      </c>
      <c r="N3" s="8" t="s">
        <v>10</v>
      </c>
      <c r="O3" s="10" t="s">
        <v>11</v>
      </c>
    </row>
    <row r="4" spans="1:16" s="2" customFormat="1" ht="56.25" customHeight="1" thickBot="1" thickTop="1">
      <c r="A4" s="23">
        <v>1.05</v>
      </c>
      <c r="B4" s="24" t="s">
        <v>13</v>
      </c>
      <c r="C4" s="25">
        <v>2.6</v>
      </c>
      <c r="D4" s="25">
        <v>0.9</v>
      </c>
      <c r="E4" s="26">
        <v>6</v>
      </c>
      <c r="F4" s="26">
        <v>1350</v>
      </c>
      <c r="G4" s="26"/>
      <c r="H4" s="27">
        <v>12</v>
      </c>
      <c r="I4" s="28">
        <v>1</v>
      </c>
      <c r="J4" s="41">
        <f>(C4-D4)*E4</f>
        <v>10.200000000000001</v>
      </c>
      <c r="K4" s="79">
        <f>1350^2*3.1415/4/43560</f>
        <v>32.859181301652896</v>
      </c>
      <c r="L4" s="27">
        <v>900</v>
      </c>
      <c r="M4" s="42">
        <f>L4*60*H4/7.48/K4/43560*12</f>
        <v>0.7262899661622638</v>
      </c>
      <c r="N4" s="29">
        <v>1</v>
      </c>
      <c r="O4" s="43">
        <f>M4</f>
        <v>0.7262899661622638</v>
      </c>
      <c r="P4" s="78" t="s">
        <v>48</v>
      </c>
    </row>
    <row r="5" spans="1:20" ht="18" customHeight="1" thickBot="1">
      <c r="A5" s="58"/>
      <c r="B5" s="59" t="s">
        <v>15</v>
      </c>
      <c r="C5" s="60">
        <v>37079</v>
      </c>
      <c r="D5" s="60">
        <v>37086</v>
      </c>
      <c r="E5" s="60">
        <v>37093</v>
      </c>
      <c r="F5" s="60">
        <v>37100</v>
      </c>
      <c r="G5" s="60">
        <v>37107</v>
      </c>
      <c r="H5" s="60">
        <v>37114</v>
      </c>
      <c r="I5" s="60">
        <v>37121</v>
      </c>
      <c r="J5" s="60">
        <v>37128</v>
      </c>
      <c r="K5" s="60">
        <v>37135</v>
      </c>
      <c r="L5" s="60">
        <v>37142</v>
      </c>
      <c r="M5" s="60">
        <v>37149</v>
      </c>
      <c r="N5" s="60">
        <v>37156</v>
      </c>
      <c r="O5" s="60">
        <v>37163</v>
      </c>
      <c r="P5" s="71" t="s">
        <v>47</v>
      </c>
      <c r="Q5" s="124" t="s">
        <v>54</v>
      </c>
      <c r="R5" s="125"/>
      <c r="S5" s="126"/>
      <c r="T5" s="127"/>
    </row>
    <row r="6" spans="1:20" ht="20.25" customHeight="1" thickBot="1">
      <c r="A6" s="61"/>
      <c r="B6" s="62" t="s">
        <v>38</v>
      </c>
      <c r="C6" s="67">
        <v>1.746</v>
      </c>
      <c r="D6" s="67">
        <v>2.119635499207607</v>
      </c>
      <c r="E6" s="67">
        <v>2.079</v>
      </c>
      <c r="F6" s="67">
        <v>1.1133438985736925</v>
      </c>
      <c r="G6" s="67">
        <v>1.62</v>
      </c>
      <c r="H6" s="67">
        <v>1.9289804543053355</v>
      </c>
      <c r="I6" s="67">
        <v>1.8616904384574748</v>
      </c>
      <c r="J6" s="67">
        <v>0.9726465927099841</v>
      </c>
      <c r="K6" s="67">
        <v>1.3947385103011094</v>
      </c>
      <c r="L6" s="67">
        <v>1.614960380348653</v>
      </c>
      <c r="M6" s="67">
        <v>1.5364553618594825</v>
      </c>
      <c r="N6" s="67">
        <v>0.7830110935023772</v>
      </c>
      <c r="O6" s="67">
        <v>1.1332250396196513</v>
      </c>
      <c r="P6" s="75">
        <f>SUM(C6:O6)</f>
        <v>19.903687268885367</v>
      </c>
      <c r="Q6" s="125"/>
      <c r="R6" s="125"/>
      <c r="S6" s="126"/>
      <c r="T6" s="127"/>
    </row>
    <row r="7" spans="1:20" ht="24" customHeight="1" thickBot="1">
      <c r="A7" s="14"/>
      <c r="B7" s="15" t="s">
        <v>23</v>
      </c>
      <c r="C7" s="16">
        <f aca="true" t="shared" si="0" ref="C7:O7">C6*$A4</f>
        <v>1.8333000000000002</v>
      </c>
      <c r="D7" s="16">
        <f t="shared" si="0"/>
        <v>2.2256172741679876</v>
      </c>
      <c r="E7" s="16">
        <f t="shared" si="0"/>
        <v>2.1829500000000004</v>
      </c>
      <c r="F7" s="16">
        <f t="shared" si="0"/>
        <v>1.1690110935023772</v>
      </c>
      <c r="G7" s="16">
        <f t="shared" si="0"/>
        <v>1.7010000000000003</v>
      </c>
      <c r="H7" s="16">
        <f t="shared" si="0"/>
        <v>2.0254294770206025</v>
      </c>
      <c r="I7" s="16">
        <f t="shared" si="0"/>
        <v>1.9547749603803486</v>
      </c>
      <c r="J7" s="16">
        <f t="shared" si="0"/>
        <v>1.0212789223454835</v>
      </c>
      <c r="K7" s="16">
        <f t="shared" si="0"/>
        <v>1.464475435816165</v>
      </c>
      <c r="L7" s="16">
        <f t="shared" si="0"/>
        <v>1.6957083993660858</v>
      </c>
      <c r="M7" s="16">
        <f t="shared" si="0"/>
        <v>1.6132781299524568</v>
      </c>
      <c r="N7" s="16">
        <f t="shared" si="0"/>
        <v>0.822161648177496</v>
      </c>
      <c r="O7" s="16">
        <f t="shared" si="0"/>
        <v>1.1898862916006339</v>
      </c>
      <c r="P7" s="4"/>
      <c r="Q7" s="126"/>
      <c r="R7" s="126"/>
      <c r="S7" s="126"/>
      <c r="T7" s="127"/>
    </row>
    <row r="8" spans="1:17" ht="27.75" customHeight="1" thickBot="1">
      <c r="A8" s="128" t="s">
        <v>72</v>
      </c>
      <c r="B8" s="129"/>
      <c r="C8" s="5">
        <f aca="true" t="shared" si="1" ref="C8:O8">C7/$O4*$H4</f>
        <v>30.29038128703126</v>
      </c>
      <c r="D8" s="5">
        <f t="shared" si="1"/>
        <v>36.77237540694459</v>
      </c>
      <c r="E8" s="5">
        <f t="shared" si="1"/>
        <v>36.06741276960939</v>
      </c>
      <c r="F8" s="5">
        <f t="shared" si="1"/>
        <v>19.3147830420315</v>
      </c>
      <c r="G8" s="5">
        <f t="shared" si="1"/>
        <v>28.104477482812513</v>
      </c>
      <c r="H8" s="5">
        <f t="shared" si="1"/>
        <v>33.464807248647986</v>
      </c>
      <c r="I8" s="5">
        <f t="shared" si="1"/>
        <v>32.29743025160212</v>
      </c>
      <c r="J8" s="5">
        <f t="shared" si="1"/>
        <v>16.873903866390158</v>
      </c>
      <c r="K8" s="5">
        <f t="shared" si="1"/>
        <v>24.19654139331419</v>
      </c>
      <c r="L8" s="5">
        <f t="shared" si="1"/>
        <v>28.01704792910064</v>
      </c>
      <c r="M8" s="5">
        <f t="shared" si="1"/>
        <v>26.65510809921381</v>
      </c>
      <c r="N8" s="5">
        <f t="shared" si="1"/>
        <v>13.584023238351826</v>
      </c>
      <c r="O8" s="6">
        <f t="shared" si="1"/>
        <v>19.659689882067777</v>
      </c>
      <c r="P8" s="72" t="s">
        <v>45</v>
      </c>
      <c r="Q8" s="3"/>
    </row>
    <row r="9" spans="1:16" ht="21" customHeight="1" thickBot="1">
      <c r="A9" s="19"/>
      <c r="B9" s="20" t="s">
        <v>73</v>
      </c>
      <c r="C9" s="21">
        <v>24</v>
      </c>
      <c r="D9" s="21">
        <v>36</v>
      </c>
      <c r="E9" s="21">
        <v>36</v>
      </c>
      <c r="F9" s="21"/>
      <c r="G9" s="21">
        <v>36</v>
      </c>
      <c r="H9" s="21">
        <v>36</v>
      </c>
      <c r="I9" s="21">
        <v>24</v>
      </c>
      <c r="J9" s="21"/>
      <c r="K9" s="21">
        <v>36</v>
      </c>
      <c r="L9" s="21">
        <v>36</v>
      </c>
      <c r="M9" s="21">
        <v>24</v>
      </c>
      <c r="N9" s="21"/>
      <c r="O9" s="22">
        <v>24</v>
      </c>
      <c r="P9" s="75">
        <f>SUM(C9:O9)/H4*O4</f>
        <v>18.88353912021886</v>
      </c>
    </row>
    <row r="10" spans="1:15" ht="30.75" customHeight="1">
      <c r="A10" s="128" t="s">
        <v>18</v>
      </c>
      <c r="B10" s="129"/>
      <c r="C10" s="5">
        <f>C9-C8</f>
        <v>-6.290381287031259</v>
      </c>
      <c r="D10" s="5">
        <f>IF(C13="",D9-D8+C10,D9-D8+((C13-1)*$J4)/$M4*$H4)</f>
        <v>-7.0627566939758495</v>
      </c>
      <c r="E10" s="5">
        <f>IF(D13="",E9-E8+D10,E9-E8+((D13-1)*$J4)/$M4*$H4)</f>
        <v>-16.92018586335939</v>
      </c>
      <c r="F10" s="5">
        <f aca="true" t="shared" si="2" ref="F10:O10">IF(E13="",F9-F8+E10,F9-F8+((E13-1)*$J4)/$M4*$H4)</f>
        <v>-36.234968905390886</v>
      </c>
      <c r="G10" s="5">
        <f t="shared" si="2"/>
        <v>-28.3394463882034</v>
      </c>
      <c r="H10" s="5">
        <f t="shared" si="2"/>
        <v>-64.87589962364802</v>
      </c>
      <c r="I10" s="5">
        <f t="shared" si="2"/>
        <v>-73.17332987525015</v>
      </c>
      <c r="J10" s="5">
        <f t="shared" si="2"/>
        <v>-101.13776933514018</v>
      </c>
      <c r="K10" s="5">
        <f t="shared" si="2"/>
        <v>-89.33431072845437</v>
      </c>
      <c r="L10" s="5">
        <f t="shared" si="2"/>
        <v>-42.57536721035067</v>
      </c>
      <c r="M10" s="5">
        <f t="shared" si="2"/>
        <v>-45.23047530956448</v>
      </c>
      <c r="N10" s="5">
        <f t="shared" si="2"/>
        <v>-64.14234251960185</v>
      </c>
      <c r="O10" s="5">
        <f t="shared" si="2"/>
        <v>-59.802032401669635</v>
      </c>
    </row>
    <row r="11" spans="1:16" ht="31.5" customHeight="1" thickBot="1">
      <c r="A11" s="128" t="s">
        <v>17</v>
      </c>
      <c r="B11" s="129"/>
      <c r="C11" s="7">
        <f>C10/$H4*$O4/$I4</f>
        <v>-0.38072006767547256</v>
      </c>
      <c r="D11" s="7">
        <f aca="true" t="shared" si="3" ref="D11:O11">D10/$H4*$O4/$I4</f>
        <v>-0.4274674433566685</v>
      </c>
      <c r="E11" s="7">
        <f t="shared" si="3"/>
        <v>-1.0240801015132088</v>
      </c>
      <c r="F11" s="7">
        <f t="shared" si="3"/>
        <v>-2.193091195015586</v>
      </c>
      <c r="G11" s="7">
        <f t="shared" si="3"/>
        <v>-1.7152212965287947</v>
      </c>
      <c r="H11" s="7">
        <f t="shared" si="3"/>
        <v>-3.926559578533812</v>
      </c>
      <c r="I11" s="7">
        <f t="shared" si="3"/>
        <v>-4.428754606589633</v>
      </c>
      <c r="J11" s="7">
        <f t="shared" si="3"/>
        <v>-6.121278922345483</v>
      </c>
      <c r="K11" s="7">
        <f t="shared" si="3"/>
        <v>-5.406884459674857</v>
      </c>
      <c r="L11" s="7">
        <f t="shared" si="3"/>
        <v>-2.5768385008792953</v>
      </c>
      <c r="M11" s="7">
        <f t="shared" si="3"/>
        <v>-2.737536698507225</v>
      </c>
      <c r="N11" s="7">
        <f t="shared" si="3"/>
        <v>-3.8821616481774974</v>
      </c>
      <c r="O11" s="7">
        <f t="shared" si="3"/>
        <v>-3.619468007453604</v>
      </c>
      <c r="P11" s="2" t="s">
        <v>44</v>
      </c>
    </row>
    <row r="12" spans="1:16" s="12" customFormat="1" ht="31.5" customHeight="1" thickBot="1">
      <c r="A12" s="130" t="s">
        <v>16</v>
      </c>
      <c r="B12" s="131"/>
      <c r="C12" s="13">
        <f>($J4+C11)/$J4</f>
        <v>0.9626745031690713</v>
      </c>
      <c r="D12" s="13">
        <f aca="true" t="shared" si="4" ref="D12:O12">($J4+D11)/$J4</f>
        <v>0.9580914271218952</v>
      </c>
      <c r="E12" s="13">
        <f t="shared" si="4"/>
        <v>0.8995999900477247</v>
      </c>
      <c r="F12" s="13">
        <f t="shared" si="4"/>
        <v>0.7849910593121976</v>
      </c>
      <c r="G12" s="13">
        <f t="shared" si="4"/>
        <v>0.8318410493599222</v>
      </c>
      <c r="H12" s="13">
        <f t="shared" si="4"/>
        <v>0.6150431785751165</v>
      </c>
      <c r="I12" s="13">
        <f t="shared" si="4"/>
        <v>0.5658083719029772</v>
      </c>
      <c r="J12" s="13">
        <f t="shared" si="4"/>
        <v>0.39987461545632524</v>
      </c>
      <c r="K12" s="13">
        <f t="shared" si="4"/>
        <v>0.46991328826717094</v>
      </c>
      <c r="L12" s="13">
        <f t="shared" si="4"/>
        <v>0.7473687744235985</v>
      </c>
      <c r="M12" s="13">
        <f t="shared" si="4"/>
        <v>0.7316140491659584</v>
      </c>
      <c r="N12" s="13">
        <f t="shared" si="4"/>
        <v>0.6193959168453435</v>
      </c>
      <c r="O12" s="13">
        <f t="shared" si="4"/>
        <v>0.645150195347686</v>
      </c>
      <c r="P12" s="76">
        <f>O11</f>
        <v>-3.619468007453604</v>
      </c>
    </row>
    <row r="13" spans="1:15" s="11" customFormat="1" ht="32.25" customHeight="1" thickBot="1">
      <c r="A13" s="132" t="s">
        <v>21</v>
      </c>
      <c r="B13" s="133"/>
      <c r="C13" s="17"/>
      <c r="D13" s="17">
        <v>0.9</v>
      </c>
      <c r="E13" s="17"/>
      <c r="F13" s="17"/>
      <c r="G13" s="17">
        <v>0.6</v>
      </c>
      <c r="H13" s="17"/>
      <c r="I13" s="17">
        <v>0.5</v>
      </c>
      <c r="J13" s="17"/>
      <c r="K13" s="17">
        <v>0.7</v>
      </c>
      <c r="L13" s="17"/>
      <c r="M13" s="17">
        <v>0.7</v>
      </c>
      <c r="N13" s="17"/>
      <c r="O13" s="18"/>
    </row>
    <row r="14" ht="15.75" thickBot="1">
      <c r="P14" s="11"/>
    </row>
    <row r="15" spans="1:15" ht="12.75">
      <c r="A15" s="121" t="s">
        <v>55</v>
      </c>
      <c r="B15" s="122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6" ht="15">
      <c r="A16" s="123"/>
      <c r="B16" s="123"/>
      <c r="C16" s="65">
        <v>36897</v>
      </c>
      <c r="D16" s="65">
        <v>36904</v>
      </c>
      <c r="E16" s="65">
        <v>36911</v>
      </c>
      <c r="F16" s="65">
        <v>36918</v>
      </c>
      <c r="G16" s="65">
        <v>36925</v>
      </c>
      <c r="H16" s="65">
        <v>36932</v>
      </c>
      <c r="I16" s="65">
        <v>36939</v>
      </c>
      <c r="J16" s="65">
        <v>36946</v>
      </c>
      <c r="K16" s="65">
        <v>36953</v>
      </c>
      <c r="L16" s="65">
        <v>36960</v>
      </c>
      <c r="M16" s="65">
        <v>36967</v>
      </c>
      <c r="N16" s="65">
        <v>36974</v>
      </c>
      <c r="O16" s="65">
        <v>36981</v>
      </c>
      <c r="P16" s="31"/>
    </row>
    <row r="17" spans="1:15" ht="14.25">
      <c r="A17" s="64"/>
      <c r="B17" s="66" t="s">
        <v>24</v>
      </c>
      <c r="C17" s="67">
        <v>0.21410459587955624</v>
      </c>
      <c r="D17" s="67">
        <v>0.27527733755942946</v>
      </c>
      <c r="E17" s="67">
        <v>0.2956682514527205</v>
      </c>
      <c r="F17" s="67">
        <v>0.3568409931325937</v>
      </c>
      <c r="G17" s="67">
        <v>0.41801373481246695</v>
      </c>
      <c r="H17" s="67">
        <v>0.46899101954569467</v>
      </c>
      <c r="I17" s="67">
        <v>0.5673771790808242</v>
      </c>
      <c r="J17" s="67">
        <v>0.6729001584786054</v>
      </c>
      <c r="K17" s="67">
        <v>0.7626201796090861</v>
      </c>
      <c r="L17" s="67">
        <v>0.863555203380877</v>
      </c>
      <c r="M17" s="67">
        <v>0.9570000000000001</v>
      </c>
      <c r="N17" s="67">
        <v>1.0766402535657686</v>
      </c>
      <c r="O17" s="67">
        <v>1.20000528262018</v>
      </c>
    </row>
    <row r="18" spans="1:15" ht="7.5" customHeight="1">
      <c r="A18" s="64"/>
      <c r="B18" s="66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6" ht="15">
      <c r="A19" s="69"/>
      <c r="B19" s="70"/>
      <c r="C19" s="65">
        <v>36988</v>
      </c>
      <c r="D19" s="65">
        <v>36995</v>
      </c>
      <c r="E19" s="65">
        <v>37002</v>
      </c>
      <c r="F19" s="65">
        <v>37009</v>
      </c>
      <c r="G19" s="65">
        <v>37016</v>
      </c>
      <c r="H19" s="65">
        <v>37023</v>
      </c>
      <c r="I19" s="65">
        <v>37030</v>
      </c>
      <c r="J19" s="65">
        <v>37037</v>
      </c>
      <c r="K19" s="65">
        <v>37044</v>
      </c>
      <c r="L19" s="65">
        <v>37051</v>
      </c>
      <c r="M19" s="65">
        <v>37058</v>
      </c>
      <c r="N19" s="65">
        <v>37065</v>
      </c>
      <c r="O19" s="65">
        <v>37072</v>
      </c>
      <c r="P19" s="31"/>
    </row>
    <row r="20" spans="1:15" ht="14.25">
      <c r="A20" s="64"/>
      <c r="B20" s="66" t="s">
        <v>25</v>
      </c>
      <c r="C20" s="67">
        <v>0.7157210776545165</v>
      </c>
      <c r="D20" s="67">
        <v>1.2494532488114103</v>
      </c>
      <c r="E20" s="67">
        <v>1.5476703645007923</v>
      </c>
      <c r="F20" s="67">
        <v>1.637390385631273</v>
      </c>
      <c r="G20" s="67">
        <v>0.954294770206022</v>
      </c>
      <c r="H20" s="67">
        <v>1.578766508188061</v>
      </c>
      <c r="I20" s="67">
        <v>1.9065504490227154</v>
      </c>
      <c r="J20" s="67">
        <v>1.9626254622292658</v>
      </c>
      <c r="K20" s="67">
        <v>1.1072266244057052</v>
      </c>
      <c r="L20" s="67">
        <v>1.7859999999999998</v>
      </c>
      <c r="M20" s="67">
        <v>2.101</v>
      </c>
      <c r="N20" s="67">
        <v>2.119635499207607</v>
      </c>
      <c r="O20" s="67">
        <v>1.164</v>
      </c>
    </row>
    <row r="21" spans="1:15" ht="9" customHeight="1">
      <c r="A21" s="64"/>
      <c r="B21" s="6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6" ht="15">
      <c r="A22" s="69"/>
      <c r="B22" s="70"/>
      <c r="C22" s="65">
        <v>37079</v>
      </c>
      <c r="D22" s="65">
        <v>37086</v>
      </c>
      <c r="E22" s="65">
        <v>37093</v>
      </c>
      <c r="F22" s="65">
        <v>37100</v>
      </c>
      <c r="G22" s="65">
        <v>37107</v>
      </c>
      <c r="H22" s="65">
        <v>37114</v>
      </c>
      <c r="I22" s="65">
        <v>37121</v>
      </c>
      <c r="J22" s="65">
        <v>37128</v>
      </c>
      <c r="K22" s="65">
        <v>37135</v>
      </c>
      <c r="L22" s="65">
        <v>37142</v>
      </c>
      <c r="M22" s="65">
        <v>37149</v>
      </c>
      <c r="N22" s="65">
        <v>37156</v>
      </c>
      <c r="O22" s="65">
        <v>37163</v>
      </c>
      <c r="P22" s="31"/>
    </row>
    <row r="23" spans="1:15" ht="14.25">
      <c r="A23" s="64"/>
      <c r="B23" s="66" t="s">
        <v>26</v>
      </c>
      <c r="C23" s="67">
        <v>1.746</v>
      </c>
      <c r="D23" s="67">
        <v>2.119635499207607</v>
      </c>
      <c r="E23" s="67">
        <v>2.079</v>
      </c>
      <c r="F23" s="67">
        <v>1.1133438985736925</v>
      </c>
      <c r="G23" s="67">
        <v>1.62</v>
      </c>
      <c r="H23" s="67">
        <v>1.9289804543053355</v>
      </c>
      <c r="I23" s="67">
        <v>1.8616904384574748</v>
      </c>
      <c r="J23" s="67">
        <v>0.9726465927099841</v>
      </c>
      <c r="K23" s="67">
        <v>1.3947385103011094</v>
      </c>
      <c r="L23" s="67">
        <v>1.614960380348653</v>
      </c>
      <c r="M23" s="67">
        <v>1.5364553618594825</v>
      </c>
      <c r="N23" s="67">
        <v>0.7830110935023772</v>
      </c>
      <c r="O23" s="67">
        <v>1.1332250396196513</v>
      </c>
    </row>
    <row r="24" spans="1:15" ht="6.75" customHeight="1">
      <c r="A24" s="64"/>
      <c r="B24" s="66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6" ht="15">
      <c r="A25" s="69"/>
      <c r="B25" s="70"/>
      <c r="C25" s="65">
        <v>37170</v>
      </c>
      <c r="D25" s="65">
        <v>37177</v>
      </c>
      <c r="E25" s="65">
        <v>37184</v>
      </c>
      <c r="F25" s="65">
        <v>37191</v>
      </c>
      <c r="G25" s="65">
        <v>37198</v>
      </c>
      <c r="H25" s="65">
        <v>37205</v>
      </c>
      <c r="I25" s="65">
        <v>37212</v>
      </c>
      <c r="J25" s="65">
        <v>37219</v>
      </c>
      <c r="K25" s="65">
        <v>37226</v>
      </c>
      <c r="L25" s="65">
        <v>37233</v>
      </c>
      <c r="M25" s="65">
        <v>37240</v>
      </c>
      <c r="N25" s="65">
        <v>37247</v>
      </c>
      <c r="O25" s="65">
        <v>37254</v>
      </c>
      <c r="P25" s="31"/>
    </row>
    <row r="26" spans="1:15" ht="14.25">
      <c r="A26" s="64"/>
      <c r="B26" s="66" t="s">
        <v>27</v>
      </c>
      <c r="C26" s="67">
        <v>1.2112202852614897</v>
      </c>
      <c r="D26" s="67">
        <v>1.099070258848389</v>
      </c>
      <c r="E26" s="67">
        <v>0.5383201267828843</v>
      </c>
      <c r="F26" s="67">
        <v>0.7361119915478076</v>
      </c>
      <c r="G26" s="67">
        <v>0.740190174326466</v>
      </c>
      <c r="H26" s="67">
        <v>0.6280401479133652</v>
      </c>
      <c r="I26" s="67">
        <v>0.5271051241415742</v>
      </c>
      <c r="J26" s="67">
        <v>0.44000000000000006</v>
      </c>
      <c r="K26" s="67">
        <v>0.35700000000000004</v>
      </c>
      <c r="L26" s="67">
        <v>0.29</v>
      </c>
      <c r="M26" s="67">
        <v>0.26</v>
      </c>
      <c r="N26" s="67">
        <v>0.23</v>
      </c>
      <c r="O26" s="67">
        <v>0.21410459587955624</v>
      </c>
    </row>
    <row r="27" spans="3:15" ht="12.75"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</sheetData>
  <sheetProtection/>
  <mergeCells count="7">
    <mergeCell ref="A15:B16"/>
    <mergeCell ref="Q5:T7"/>
    <mergeCell ref="A8:B8"/>
    <mergeCell ref="A10:B10"/>
    <mergeCell ref="A11:B11"/>
    <mergeCell ref="A12:B12"/>
    <mergeCell ref="A13:B13"/>
  </mergeCells>
  <printOptions/>
  <pageMargins left="0.2" right="0.2" top="1" bottom="1" header="0.5" footer="0.5"/>
  <pageSetup fitToHeight="1" fitToWidth="1" horizontalDpi="600" verticalDpi="6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A8" sqref="A8:B9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8.140625" style="0" customWidth="1"/>
    <col min="8" max="8" width="8.421875" style="0" customWidth="1"/>
    <col min="9" max="9" width="8.8515625" style="0" customWidth="1"/>
    <col min="10" max="10" width="7.7109375" style="0" customWidth="1"/>
    <col min="11" max="11" width="6.7109375" style="0" customWidth="1"/>
    <col min="12" max="12" width="7.00390625" style="0" customWidth="1"/>
    <col min="13" max="15" width="7.7109375" style="0" customWidth="1"/>
    <col min="16" max="16" width="12.8515625" style="0" customWidth="1"/>
    <col min="21" max="21" width="4.7109375" style="0" customWidth="1"/>
  </cols>
  <sheetData>
    <row r="1" spans="2:6" ht="20.25">
      <c r="B1" s="32" t="s">
        <v>43</v>
      </c>
      <c r="F1" s="40" t="s">
        <v>33</v>
      </c>
    </row>
    <row r="2" ht="5.25" customHeight="1" thickBot="1"/>
    <row r="3" spans="1:15" s="1" customFormat="1" ht="51.75" customHeight="1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19</v>
      </c>
      <c r="G3" s="8" t="s">
        <v>14</v>
      </c>
      <c r="H3" s="8" t="s">
        <v>4</v>
      </c>
      <c r="I3" s="8" t="s">
        <v>42</v>
      </c>
      <c r="J3" s="9" t="s">
        <v>8</v>
      </c>
      <c r="K3" s="8" t="s">
        <v>12</v>
      </c>
      <c r="L3" s="8" t="s">
        <v>20</v>
      </c>
      <c r="M3" s="8" t="s">
        <v>9</v>
      </c>
      <c r="N3" s="8" t="s">
        <v>10</v>
      </c>
      <c r="O3" s="10" t="s">
        <v>11</v>
      </c>
    </row>
    <row r="4" spans="1:16" s="2" customFormat="1" ht="56.25" customHeight="1" thickBot="1" thickTop="1">
      <c r="A4" s="23">
        <v>1.05</v>
      </c>
      <c r="B4" s="24" t="s">
        <v>13</v>
      </c>
      <c r="C4" s="25">
        <v>2.6</v>
      </c>
      <c r="D4" s="25">
        <v>0.9</v>
      </c>
      <c r="E4" s="26">
        <v>6</v>
      </c>
      <c r="F4" s="26" t="s">
        <v>6</v>
      </c>
      <c r="G4" s="26" t="s">
        <v>7</v>
      </c>
      <c r="H4" s="27">
        <v>24</v>
      </c>
      <c r="I4" s="28">
        <v>0.5</v>
      </c>
      <c r="J4" s="41">
        <f>(C4-D4)*E4</f>
        <v>10.200000000000001</v>
      </c>
      <c r="K4" s="27">
        <v>504</v>
      </c>
      <c r="L4" s="27">
        <v>21.4</v>
      </c>
      <c r="M4" s="42">
        <f>L4*H4/7.48/K4/I4*12</f>
        <v>3.2696715049656215</v>
      </c>
      <c r="N4" s="29">
        <v>3</v>
      </c>
      <c r="O4" s="43">
        <f>L4*H4/7.48/K4*12</f>
        <v>1.6348357524828108</v>
      </c>
      <c r="P4" s="78" t="s">
        <v>48</v>
      </c>
    </row>
    <row r="5" spans="1:20" ht="23.25" customHeight="1" thickBot="1">
      <c r="A5" s="58"/>
      <c r="B5" s="59" t="s">
        <v>15</v>
      </c>
      <c r="C5" s="60">
        <v>37079</v>
      </c>
      <c r="D5" s="60">
        <v>37086</v>
      </c>
      <c r="E5" s="60">
        <v>37093</v>
      </c>
      <c r="F5" s="60">
        <v>37100</v>
      </c>
      <c r="G5" s="60">
        <v>37107</v>
      </c>
      <c r="H5" s="60">
        <v>37114</v>
      </c>
      <c r="I5" s="60">
        <v>37121</v>
      </c>
      <c r="J5" s="60">
        <v>37128</v>
      </c>
      <c r="K5" s="60">
        <v>37135</v>
      </c>
      <c r="L5" s="60">
        <v>37142</v>
      </c>
      <c r="M5" s="60">
        <v>37149</v>
      </c>
      <c r="N5" s="60">
        <v>37156</v>
      </c>
      <c r="O5" s="60">
        <v>37163</v>
      </c>
      <c r="P5" s="71" t="s">
        <v>47</v>
      </c>
      <c r="Q5" s="124" t="s">
        <v>56</v>
      </c>
      <c r="R5" s="125"/>
      <c r="S5" s="126"/>
      <c r="T5" s="127"/>
    </row>
    <row r="6" spans="1:20" ht="20.25" customHeight="1" thickBot="1">
      <c r="A6" s="61"/>
      <c r="B6" s="62" t="s">
        <v>38</v>
      </c>
      <c r="C6" s="63">
        <v>2.0747090210224934</v>
      </c>
      <c r="D6" s="63">
        <v>2.0737764477773153</v>
      </c>
      <c r="E6" s="63">
        <v>1.9955845939586034</v>
      </c>
      <c r="F6" s="63">
        <v>1.993662330004054</v>
      </c>
      <c r="G6" s="63">
        <v>1.9135327922649636</v>
      </c>
      <c r="H6" s="63">
        <v>1.8894685416624872</v>
      </c>
      <c r="I6" s="63">
        <v>1.8197177812995247</v>
      </c>
      <c r="J6" s="63">
        <v>1.7394276595037297</v>
      </c>
      <c r="K6" s="63">
        <v>1.6591007116000123</v>
      </c>
      <c r="L6" s="63">
        <v>1.5543993660855786</v>
      </c>
      <c r="M6" s="63">
        <v>1.446075634691278</v>
      </c>
      <c r="N6" s="63">
        <v>1.3275270649471496</v>
      </c>
      <c r="O6" s="63">
        <v>1.1605766700283342</v>
      </c>
      <c r="P6" s="75">
        <f>SUM(C6:O6)</f>
        <v>22.647558614845526</v>
      </c>
      <c r="Q6" s="125"/>
      <c r="R6" s="125"/>
      <c r="S6" s="126"/>
      <c r="T6" s="127"/>
    </row>
    <row r="7" spans="1:20" ht="24" customHeight="1" thickBot="1">
      <c r="A7" s="14"/>
      <c r="B7" s="15" t="s">
        <v>23</v>
      </c>
      <c r="C7" s="16">
        <f aca="true" t="shared" si="0" ref="C7:O7">C6*$A4</f>
        <v>2.1784444720736182</v>
      </c>
      <c r="D7" s="16">
        <f t="shared" si="0"/>
        <v>2.177465270166181</v>
      </c>
      <c r="E7" s="16">
        <f t="shared" si="0"/>
        <v>2.0953638236565335</v>
      </c>
      <c r="F7" s="16">
        <f t="shared" si="0"/>
        <v>2.0933454465042565</v>
      </c>
      <c r="G7" s="16">
        <f t="shared" si="0"/>
        <v>2.009209431878212</v>
      </c>
      <c r="H7" s="16">
        <f t="shared" si="0"/>
        <v>1.9839419687456117</v>
      </c>
      <c r="I7" s="16">
        <f t="shared" si="0"/>
        <v>1.910703670364501</v>
      </c>
      <c r="J7" s="16">
        <f t="shared" si="0"/>
        <v>1.8263990424789163</v>
      </c>
      <c r="K7" s="16">
        <f t="shared" si="0"/>
        <v>1.7420557471800129</v>
      </c>
      <c r="L7" s="16">
        <f t="shared" si="0"/>
        <v>1.6321193343898577</v>
      </c>
      <c r="M7" s="16">
        <f t="shared" si="0"/>
        <v>1.518379416425842</v>
      </c>
      <c r="N7" s="16">
        <f t="shared" si="0"/>
        <v>1.3939034181945071</v>
      </c>
      <c r="O7" s="16">
        <f t="shared" si="0"/>
        <v>1.218605503529751</v>
      </c>
      <c r="P7" s="4"/>
      <c r="Q7" s="126"/>
      <c r="R7" s="126"/>
      <c r="S7" s="126"/>
      <c r="T7" s="127"/>
    </row>
    <row r="8" spans="1:17" ht="27.75" customHeight="1" thickBot="1">
      <c r="A8" s="128" t="s">
        <v>72</v>
      </c>
      <c r="B8" s="129"/>
      <c r="C8" s="5">
        <f aca="true" t="shared" si="1" ref="C8:O8">C7/$O4*$H4</f>
        <v>31.98037922180599</v>
      </c>
      <c r="D8" s="5">
        <f t="shared" si="1"/>
        <v>31.966004171748025</v>
      </c>
      <c r="E8" s="5">
        <f t="shared" si="1"/>
        <v>30.76072424485686</v>
      </c>
      <c r="F8" s="5">
        <f t="shared" si="1"/>
        <v>30.731093713727915</v>
      </c>
      <c r="G8" s="5">
        <f t="shared" si="1"/>
        <v>29.49594556630184</v>
      </c>
      <c r="H8" s="5">
        <f t="shared" si="1"/>
        <v>29.125009761734653</v>
      </c>
      <c r="I8" s="5">
        <f t="shared" si="1"/>
        <v>28.049844162696814</v>
      </c>
      <c r="J8" s="5">
        <f t="shared" si="1"/>
        <v>26.812220709587688</v>
      </c>
      <c r="K8" s="5">
        <f t="shared" si="1"/>
        <v>25.57402960439594</v>
      </c>
      <c r="L8" s="5">
        <f t="shared" si="1"/>
        <v>23.960121966912048</v>
      </c>
      <c r="M8" s="5">
        <f t="shared" si="1"/>
        <v>22.290377451604797</v>
      </c>
      <c r="N8" s="5">
        <f t="shared" si="1"/>
        <v>20.46302326448535</v>
      </c>
      <c r="O8" s="6">
        <f t="shared" si="1"/>
        <v>17.889584345276013</v>
      </c>
      <c r="P8" s="72" t="s">
        <v>45</v>
      </c>
      <c r="Q8" s="3"/>
    </row>
    <row r="9" spans="1:16" ht="21" customHeight="1" thickBot="1">
      <c r="A9" s="19"/>
      <c r="B9" s="20" t="s">
        <v>73</v>
      </c>
      <c r="C9" s="21">
        <v>24</v>
      </c>
      <c r="D9" s="21">
        <v>24</v>
      </c>
      <c r="E9" s="21">
        <v>24</v>
      </c>
      <c r="F9" s="21">
        <v>24</v>
      </c>
      <c r="G9" s="21">
        <v>48</v>
      </c>
      <c r="H9" s="21"/>
      <c r="I9" s="21"/>
      <c r="J9" s="21">
        <v>48</v>
      </c>
      <c r="K9" s="21">
        <v>24</v>
      </c>
      <c r="L9" s="21">
        <v>24</v>
      </c>
      <c r="M9" s="21"/>
      <c r="N9" s="21">
        <v>48</v>
      </c>
      <c r="O9" s="22"/>
      <c r="P9" s="75">
        <f>SUM(C9:O9)/H4*O4</f>
        <v>19.61802902979373</v>
      </c>
    </row>
    <row r="10" spans="1:15" ht="30.75" customHeight="1">
      <c r="A10" s="128" t="s">
        <v>18</v>
      </c>
      <c r="B10" s="129"/>
      <c r="C10" s="5">
        <f>C9-C8</f>
        <v>-7.98037922180599</v>
      </c>
      <c r="D10" s="5">
        <f>IF(C13="",D9-D8+C10,D9-D8+((C13-1)*$J4)/$M4*$H4)</f>
        <v>-15.946383393554015</v>
      </c>
      <c r="E10" s="5">
        <f>IF(D13="",E9-E8+D10,E9-E8+((D13-1)*$J4)/$M4*$H4)</f>
        <v>-14.24771489906247</v>
      </c>
      <c r="F10" s="5">
        <f aca="true" t="shared" si="2" ref="F10:O10">IF(E13="",F9-F8+E10,F9-F8+((E13-1)*$J4)/$M4*$H4)</f>
        <v>-20.978808612790385</v>
      </c>
      <c r="G10" s="5">
        <f t="shared" si="2"/>
        <v>-2.4747541790922263</v>
      </c>
      <c r="H10" s="5">
        <f t="shared" si="2"/>
        <v>-29.125009761734653</v>
      </c>
      <c r="I10" s="5">
        <f t="shared" si="2"/>
        <v>-57.17485392443147</v>
      </c>
      <c r="J10" s="5">
        <f t="shared" si="2"/>
        <v>-23.73416463482135</v>
      </c>
      <c r="K10" s="5">
        <f t="shared" si="2"/>
        <v>-25.30819423921729</v>
      </c>
      <c r="L10" s="5">
        <f t="shared" si="2"/>
        <v>-29.908084583734492</v>
      </c>
      <c r="M10" s="5">
        <f t="shared" si="2"/>
        <v>-52.19846203533929</v>
      </c>
      <c r="N10" s="5">
        <f t="shared" si="2"/>
        <v>-17.384967189719013</v>
      </c>
      <c r="O10" s="5">
        <f t="shared" si="2"/>
        <v>-35.27455153499503</v>
      </c>
    </row>
    <row r="11" spans="1:16" ht="31.5" customHeight="1" thickBot="1">
      <c r="A11" s="128" t="s">
        <v>17</v>
      </c>
      <c r="B11" s="129"/>
      <c r="C11" s="7">
        <f>C10/$H4*$O4/$I4</f>
        <v>-1.0872174391816152</v>
      </c>
      <c r="D11" s="7">
        <f aca="true" t="shared" si="3" ref="D11:O11">D10/$H4*$O4/$I4</f>
        <v>-2.1724764745483562</v>
      </c>
      <c r="E11" s="7">
        <f t="shared" si="3"/>
        <v>-1.9410561423474457</v>
      </c>
      <c r="F11" s="7">
        <f t="shared" si="3"/>
        <v>-2.8580755303903365</v>
      </c>
      <c r="G11" s="7">
        <f t="shared" si="3"/>
        <v>-0.3371513842155183</v>
      </c>
      <c r="H11" s="7">
        <f t="shared" si="3"/>
        <v>-3.9678839374912234</v>
      </c>
      <c r="I11" s="7">
        <f t="shared" si="3"/>
        <v>-7.789291278220225</v>
      </c>
      <c r="J11" s="7">
        <f t="shared" si="3"/>
        <v>-3.23345507502659</v>
      </c>
      <c r="K11" s="7">
        <f t="shared" si="3"/>
        <v>-3.4478950644209947</v>
      </c>
      <c r="L11" s="7">
        <f t="shared" si="3"/>
        <v>-4.074567163814094</v>
      </c>
      <c r="M11" s="7">
        <f t="shared" si="3"/>
        <v>-7.111325996665778</v>
      </c>
      <c r="N11" s="7">
        <f t="shared" si="3"/>
        <v>-2.3684638264577718</v>
      </c>
      <c r="O11" s="7">
        <f t="shared" si="3"/>
        <v>-4.805674833517274</v>
      </c>
      <c r="P11" s="2" t="s">
        <v>44</v>
      </c>
    </row>
    <row r="12" spans="1:16" s="12" customFormat="1" ht="31.5" customHeight="1" thickBot="1">
      <c r="A12" s="130" t="s">
        <v>16</v>
      </c>
      <c r="B12" s="131"/>
      <c r="C12" s="13">
        <f>($J4+C11)/$J4</f>
        <v>0.8934100549821946</v>
      </c>
      <c r="D12" s="13">
        <f aca="true" t="shared" si="4" ref="D12:O12">($J4+D11)/$J4</f>
        <v>0.7870121103383965</v>
      </c>
      <c r="E12" s="13">
        <f t="shared" si="4"/>
        <v>0.8097003782012309</v>
      </c>
      <c r="F12" s="13">
        <f t="shared" si="4"/>
        <v>0.7197965166283984</v>
      </c>
      <c r="G12" s="13">
        <f t="shared" si="4"/>
        <v>0.9669459427239688</v>
      </c>
      <c r="H12" s="13">
        <f t="shared" si="4"/>
        <v>0.6109917708341939</v>
      </c>
      <c r="I12" s="13">
        <f t="shared" si="4"/>
        <v>0.23634399233135056</v>
      </c>
      <c r="J12" s="13">
        <f t="shared" si="4"/>
        <v>0.6829946004875892</v>
      </c>
      <c r="K12" s="13">
        <f t="shared" si="4"/>
        <v>0.6619710721155888</v>
      </c>
      <c r="L12" s="13">
        <f t="shared" si="4"/>
        <v>0.6005326309986183</v>
      </c>
      <c r="M12" s="13">
        <f t="shared" si="4"/>
        <v>0.30281117679747277</v>
      </c>
      <c r="N12" s="13">
        <f t="shared" si="4"/>
        <v>0.7677976640727675</v>
      </c>
      <c r="O12" s="13">
        <f t="shared" si="4"/>
        <v>0.5288554084786987</v>
      </c>
      <c r="P12" s="76">
        <f>O11</f>
        <v>-4.805674833517274</v>
      </c>
    </row>
    <row r="13" spans="1:15" s="11" customFormat="1" ht="32.25" customHeight="1" thickBot="1">
      <c r="A13" s="132" t="s">
        <v>21</v>
      </c>
      <c r="B13" s="133"/>
      <c r="C13" s="17"/>
      <c r="D13" s="17">
        <v>0.9</v>
      </c>
      <c r="E13" s="17"/>
      <c r="F13" s="17"/>
      <c r="G13" s="17">
        <v>1</v>
      </c>
      <c r="H13" s="17"/>
      <c r="I13" s="17">
        <v>0.4</v>
      </c>
      <c r="J13" s="17"/>
      <c r="K13" s="17">
        <v>0.6</v>
      </c>
      <c r="L13" s="17"/>
      <c r="M13" s="17">
        <v>0.4</v>
      </c>
      <c r="N13" s="17"/>
      <c r="O13" s="18"/>
    </row>
    <row r="14" ht="15.75" thickBot="1">
      <c r="P14" s="11"/>
    </row>
    <row r="15" spans="1:15" ht="12.75" customHeight="1">
      <c r="A15" s="121" t="s">
        <v>55</v>
      </c>
      <c r="B15" s="122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6" ht="15">
      <c r="A16" s="123"/>
      <c r="B16" s="123"/>
      <c r="C16" s="65">
        <v>36897</v>
      </c>
      <c r="D16" s="65">
        <v>36904</v>
      </c>
      <c r="E16" s="65">
        <v>36911</v>
      </c>
      <c r="F16" s="65">
        <v>36918</v>
      </c>
      <c r="G16" s="65">
        <v>36925</v>
      </c>
      <c r="H16" s="65">
        <v>36932</v>
      </c>
      <c r="I16" s="65">
        <v>36939</v>
      </c>
      <c r="J16" s="65">
        <v>36946</v>
      </c>
      <c r="K16" s="65">
        <v>36953</v>
      </c>
      <c r="L16" s="65">
        <v>36960</v>
      </c>
      <c r="M16" s="65">
        <v>36967</v>
      </c>
      <c r="N16" s="65">
        <v>36974</v>
      </c>
      <c r="O16" s="65">
        <v>36981</v>
      </c>
      <c r="P16" s="31"/>
    </row>
    <row r="17" spans="1:16" ht="14.25">
      <c r="A17" s="64"/>
      <c r="B17" s="66" t="s">
        <v>24</v>
      </c>
      <c r="C17" s="67">
        <v>0.0856418383518225</v>
      </c>
      <c r="D17" s="67">
        <v>0.11011093502377178</v>
      </c>
      <c r="E17" s="67">
        <v>0.11826730058108821</v>
      </c>
      <c r="F17" s="67">
        <v>0.1427363972530375</v>
      </c>
      <c r="G17" s="67">
        <v>0.1672054939249868</v>
      </c>
      <c r="H17" s="67">
        <v>0.18759640781827788</v>
      </c>
      <c r="I17" s="67">
        <v>0.2161436872688854</v>
      </c>
      <c r="J17" s="67">
        <v>0.24469096671949286</v>
      </c>
      <c r="K17" s="67">
        <v>0.2911822503961965</v>
      </c>
      <c r="L17" s="67">
        <v>0.4821727587205836</v>
      </c>
      <c r="M17" s="67">
        <v>0.5676830427892234</v>
      </c>
      <c r="N17" s="67">
        <v>0.6521788601576761</v>
      </c>
      <c r="O17" s="67">
        <v>0.7813987886829078</v>
      </c>
      <c r="P17" s="31"/>
    </row>
    <row r="18" spans="1:16" ht="7.5" customHeight="1">
      <c r="A18" s="64"/>
      <c r="B18" s="66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31"/>
    </row>
    <row r="19" spans="1:16" ht="15">
      <c r="A19" s="69"/>
      <c r="B19" s="70"/>
      <c r="C19" s="65">
        <v>36988</v>
      </c>
      <c r="D19" s="65">
        <v>36995</v>
      </c>
      <c r="E19" s="65">
        <v>37002</v>
      </c>
      <c r="F19" s="65">
        <v>37009</v>
      </c>
      <c r="G19" s="65">
        <v>37016</v>
      </c>
      <c r="H19" s="65">
        <v>37023</v>
      </c>
      <c r="I19" s="65">
        <v>37030</v>
      </c>
      <c r="J19" s="65">
        <v>37037</v>
      </c>
      <c r="K19" s="65">
        <v>37044</v>
      </c>
      <c r="L19" s="65">
        <v>37051</v>
      </c>
      <c r="M19" s="65">
        <v>37058</v>
      </c>
      <c r="N19" s="65">
        <v>37065</v>
      </c>
      <c r="O19" s="65">
        <v>37072</v>
      </c>
      <c r="P19" s="31"/>
    </row>
    <row r="20" spans="1:16" ht="14.25">
      <c r="A20" s="64"/>
      <c r="B20" s="66" t="s">
        <v>25</v>
      </c>
      <c r="C20" s="67">
        <v>0.8811998516370503</v>
      </c>
      <c r="D20" s="67">
        <v>0.9914689747653297</v>
      </c>
      <c r="E20" s="67">
        <v>1.139648177496038</v>
      </c>
      <c r="F20" s="67">
        <v>1.2400371966313475</v>
      </c>
      <c r="G20" s="67">
        <v>1.37026941362916</v>
      </c>
      <c r="H20" s="67">
        <v>1.5023209720021131</v>
      </c>
      <c r="I20" s="67">
        <v>1.626423380591368</v>
      </c>
      <c r="J20" s="67">
        <v>1.716496674658323</v>
      </c>
      <c r="K20" s="67">
        <v>1.800545218256476</v>
      </c>
      <c r="L20" s="67">
        <v>1.8337428917684349</v>
      </c>
      <c r="M20" s="67">
        <v>1.9308341737501804</v>
      </c>
      <c r="N20" s="67">
        <v>2.02554908852668</v>
      </c>
      <c r="O20" s="67">
        <v>2.050861790895798</v>
      </c>
      <c r="P20" s="31"/>
    </row>
    <row r="21" spans="1:16" ht="9" customHeight="1">
      <c r="A21" s="64"/>
      <c r="B21" s="66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31"/>
    </row>
    <row r="22" spans="1:16" ht="15">
      <c r="A22" s="69"/>
      <c r="B22" s="70"/>
      <c r="C22" s="65">
        <v>37079</v>
      </c>
      <c r="D22" s="65">
        <v>37086</v>
      </c>
      <c r="E22" s="65">
        <v>37093</v>
      </c>
      <c r="F22" s="65">
        <v>37100</v>
      </c>
      <c r="G22" s="65">
        <v>37107</v>
      </c>
      <c r="H22" s="65">
        <v>37114</v>
      </c>
      <c r="I22" s="65">
        <v>37121</v>
      </c>
      <c r="J22" s="65">
        <v>37128</v>
      </c>
      <c r="K22" s="65">
        <v>37135</v>
      </c>
      <c r="L22" s="65">
        <v>37142</v>
      </c>
      <c r="M22" s="65">
        <v>37149</v>
      </c>
      <c r="N22" s="65">
        <v>37156</v>
      </c>
      <c r="O22" s="65">
        <v>37163</v>
      </c>
      <c r="P22" s="31"/>
    </row>
    <row r="23" spans="1:16" ht="14.25">
      <c r="A23" s="64"/>
      <c r="B23" s="66" t="s">
        <v>26</v>
      </c>
      <c r="C23" s="67">
        <v>2.0747090210224934</v>
      </c>
      <c r="D23" s="67">
        <v>2.0737764477773153</v>
      </c>
      <c r="E23" s="67">
        <v>1.9955845939586034</v>
      </c>
      <c r="F23" s="67">
        <v>1.993662330004054</v>
      </c>
      <c r="G23" s="67">
        <v>1.9135327922649636</v>
      </c>
      <c r="H23" s="67">
        <v>1.8894685416624872</v>
      </c>
      <c r="I23" s="67">
        <v>1.8197177812995247</v>
      </c>
      <c r="J23" s="67">
        <v>1.7394276595037297</v>
      </c>
      <c r="K23" s="67">
        <v>1.6591007116000123</v>
      </c>
      <c r="L23" s="67">
        <v>1.5543993660855786</v>
      </c>
      <c r="M23" s="67">
        <v>1.446075634691278</v>
      </c>
      <c r="N23" s="67">
        <v>1.3275270649471496</v>
      </c>
      <c r="O23" s="67">
        <v>1.1605766700283342</v>
      </c>
      <c r="P23" s="31"/>
    </row>
    <row r="24" spans="1:16" ht="6.75" customHeight="1">
      <c r="A24" s="64"/>
      <c r="B24" s="66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31"/>
    </row>
    <row r="25" spans="1:16" ht="15">
      <c r="A25" s="69"/>
      <c r="B25" s="70"/>
      <c r="C25" s="65">
        <v>37170</v>
      </c>
      <c r="D25" s="65">
        <v>37177</v>
      </c>
      <c r="E25" s="65">
        <v>37184</v>
      </c>
      <c r="F25" s="65">
        <v>37191</v>
      </c>
      <c r="G25" s="65">
        <v>37198</v>
      </c>
      <c r="H25" s="65">
        <v>37205</v>
      </c>
      <c r="I25" s="65">
        <v>37212</v>
      </c>
      <c r="J25" s="65">
        <v>37219</v>
      </c>
      <c r="K25" s="65">
        <v>37226</v>
      </c>
      <c r="L25" s="65">
        <v>37233</v>
      </c>
      <c r="M25" s="65">
        <v>37240</v>
      </c>
      <c r="N25" s="65">
        <v>37247</v>
      </c>
      <c r="O25" s="65">
        <v>37254</v>
      </c>
      <c r="P25" s="31"/>
    </row>
    <row r="26" spans="1:16" ht="14.25">
      <c r="A26" s="64"/>
      <c r="B26" s="66" t="s">
        <v>27</v>
      </c>
      <c r="C26" s="67">
        <v>1.0414047543581617</v>
      </c>
      <c r="D26" s="67">
        <v>0.8812545166402536</v>
      </c>
      <c r="E26" s="67">
        <v>0.7895361859482304</v>
      </c>
      <c r="F26" s="67">
        <v>0.6438792836085409</v>
      </c>
      <c r="G26" s="67">
        <v>0.5261317465538379</v>
      </c>
      <c r="H26" s="67">
        <v>0.4069284925322961</v>
      </c>
      <c r="I26" s="67">
        <v>0.3279765216880906</v>
      </c>
      <c r="J26" s="67">
        <v>0.24969353759464694</v>
      </c>
      <c r="K26" s="67">
        <v>0.17842049656629685</v>
      </c>
      <c r="L26" s="67">
        <v>0.12234548335974643</v>
      </c>
      <c r="M26" s="67">
        <v>0.11418911780243002</v>
      </c>
      <c r="N26" s="67">
        <v>0.10195456946645537</v>
      </c>
      <c r="O26" s="67">
        <v>0.0856418383518225</v>
      </c>
      <c r="P26" s="31"/>
    </row>
    <row r="27" ht="12.75">
      <c r="P27" s="31"/>
    </row>
    <row r="28" ht="12.75">
      <c r="P28" s="31"/>
    </row>
    <row r="29" ht="12.75">
      <c r="P29" s="31"/>
    </row>
    <row r="30" ht="12.75">
      <c r="P30" s="31"/>
    </row>
  </sheetData>
  <sheetProtection/>
  <mergeCells count="7">
    <mergeCell ref="Q5:T7"/>
    <mergeCell ref="A15:B16"/>
    <mergeCell ref="A13:B13"/>
    <mergeCell ref="A12:B12"/>
    <mergeCell ref="A11:B11"/>
    <mergeCell ref="A8:B8"/>
    <mergeCell ref="A10:B10"/>
  </mergeCells>
  <printOptions/>
  <pageMargins left="0.2" right="0.2" top="1" bottom="1" header="0.5" footer="0.5"/>
  <pageSetup fitToHeight="1" fitToWidth="1" horizontalDpi="600" verticalDpi="600" orientation="landscape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8" sqref="A8:B9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8.140625" style="0" customWidth="1"/>
    <col min="8" max="8" width="8.421875" style="0" customWidth="1"/>
    <col min="9" max="10" width="7.7109375" style="0" customWidth="1"/>
    <col min="11" max="11" width="6.7109375" style="0" customWidth="1"/>
    <col min="12" max="12" width="7.00390625" style="0" customWidth="1"/>
    <col min="13" max="15" width="7.7109375" style="0" customWidth="1"/>
    <col min="16" max="16" width="12.8515625" style="0" customWidth="1"/>
  </cols>
  <sheetData>
    <row r="1" spans="2:4" ht="20.25">
      <c r="B1" s="32" t="s">
        <v>29</v>
      </c>
      <c r="D1" s="40" t="s">
        <v>33</v>
      </c>
    </row>
    <row r="2" ht="5.25" customHeight="1" thickBot="1"/>
    <row r="3" spans="1:15" s="1" customFormat="1" ht="48.75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19</v>
      </c>
      <c r="G3" s="8" t="s">
        <v>14</v>
      </c>
      <c r="H3" s="8" t="s">
        <v>4</v>
      </c>
      <c r="I3" s="8" t="s">
        <v>5</v>
      </c>
      <c r="J3" s="9" t="s">
        <v>8</v>
      </c>
      <c r="K3" s="8" t="s">
        <v>12</v>
      </c>
      <c r="L3" s="8" t="s">
        <v>20</v>
      </c>
      <c r="M3" s="8" t="s">
        <v>9</v>
      </c>
      <c r="N3" s="8" t="s">
        <v>10</v>
      </c>
      <c r="O3" s="10" t="s">
        <v>11</v>
      </c>
    </row>
    <row r="4" spans="1:16" s="2" customFormat="1" ht="56.25" customHeight="1" thickBot="1" thickTop="1">
      <c r="A4" s="23">
        <v>1</v>
      </c>
      <c r="B4" s="24" t="s">
        <v>13</v>
      </c>
      <c r="C4" s="25">
        <v>2.6</v>
      </c>
      <c r="D4" s="25">
        <v>0.9</v>
      </c>
      <c r="E4" s="26">
        <v>6</v>
      </c>
      <c r="F4" s="26" t="s">
        <v>6</v>
      </c>
      <c r="G4" s="26" t="s">
        <v>7</v>
      </c>
      <c r="H4" s="27">
        <v>24</v>
      </c>
      <c r="I4" s="28">
        <v>0.5</v>
      </c>
      <c r="J4" s="41">
        <f>(C4-D4)*E4</f>
        <v>10.200000000000001</v>
      </c>
      <c r="K4" s="27">
        <v>504</v>
      </c>
      <c r="L4" s="27">
        <v>21.4</v>
      </c>
      <c r="M4" s="42">
        <f>L4*H4/7.48/K4/I4*12</f>
        <v>3.2696715049656215</v>
      </c>
      <c r="N4" s="29">
        <v>3</v>
      </c>
      <c r="O4" s="43">
        <f>L4*H4/7.48/K4*12</f>
        <v>1.6348357524828108</v>
      </c>
      <c r="P4" s="78" t="s">
        <v>48</v>
      </c>
    </row>
    <row r="5" spans="1:20" ht="24" customHeight="1" thickBot="1">
      <c r="A5" s="44"/>
      <c r="B5" s="45" t="s">
        <v>15</v>
      </c>
      <c r="C5" s="46">
        <v>36988</v>
      </c>
      <c r="D5" s="46">
        <v>36995</v>
      </c>
      <c r="E5" s="46">
        <v>37002</v>
      </c>
      <c r="F5" s="46">
        <v>37009</v>
      </c>
      <c r="G5" s="46">
        <v>37016</v>
      </c>
      <c r="H5" s="46">
        <v>37023</v>
      </c>
      <c r="I5" s="46">
        <v>37030</v>
      </c>
      <c r="J5" s="46">
        <v>37037</v>
      </c>
      <c r="K5" s="46">
        <v>37044</v>
      </c>
      <c r="L5" s="46">
        <v>37051</v>
      </c>
      <c r="M5" s="46">
        <v>37058</v>
      </c>
      <c r="N5" s="46">
        <v>37065</v>
      </c>
      <c r="O5" s="46">
        <v>37072</v>
      </c>
      <c r="P5" s="71" t="s">
        <v>47</v>
      </c>
      <c r="Q5" s="124" t="s">
        <v>56</v>
      </c>
      <c r="R5" s="125"/>
      <c r="S5" s="126"/>
      <c r="T5" s="127"/>
    </row>
    <row r="6" spans="1:20" ht="20.25" customHeight="1" thickBot="1">
      <c r="A6" s="47"/>
      <c r="B6" s="48" t="s">
        <v>38</v>
      </c>
      <c r="C6" s="50">
        <v>0.8811998516370503</v>
      </c>
      <c r="D6" s="50">
        <v>0.9914689747653297</v>
      </c>
      <c r="E6" s="50">
        <v>1.139648177496038</v>
      </c>
      <c r="F6" s="50">
        <v>1.2400371966313475</v>
      </c>
      <c r="G6" s="50">
        <v>1.37026941362916</v>
      </c>
      <c r="H6" s="50">
        <v>1.5023209720021131</v>
      </c>
      <c r="I6" s="50">
        <v>1.626423380591368</v>
      </c>
      <c r="J6" s="50">
        <v>1.716496674658323</v>
      </c>
      <c r="K6" s="50">
        <v>1.800545218256476</v>
      </c>
      <c r="L6" s="50">
        <v>1.8337428917684349</v>
      </c>
      <c r="M6" s="50">
        <v>1.9308341737501804</v>
      </c>
      <c r="N6" s="50">
        <v>2.02554908852668</v>
      </c>
      <c r="O6" s="50">
        <v>2.050861790895798</v>
      </c>
      <c r="P6" s="75">
        <f>SUM(C6:O6)</f>
        <v>20.1093978046083</v>
      </c>
      <c r="Q6" s="125"/>
      <c r="R6" s="125"/>
      <c r="S6" s="126"/>
      <c r="T6" s="127"/>
    </row>
    <row r="7" spans="1:20" ht="24" customHeight="1" thickBot="1">
      <c r="A7" s="14"/>
      <c r="B7" s="15" t="s">
        <v>23</v>
      </c>
      <c r="C7" s="16">
        <f aca="true" t="shared" si="0" ref="C7:O7">C6*$A4</f>
        <v>0.8811998516370503</v>
      </c>
      <c r="D7" s="16">
        <f t="shared" si="0"/>
        <v>0.9914689747653297</v>
      </c>
      <c r="E7" s="16">
        <f t="shared" si="0"/>
        <v>1.139648177496038</v>
      </c>
      <c r="F7" s="16">
        <f t="shared" si="0"/>
        <v>1.2400371966313475</v>
      </c>
      <c r="G7" s="16">
        <f t="shared" si="0"/>
        <v>1.37026941362916</v>
      </c>
      <c r="H7" s="16">
        <f t="shared" si="0"/>
        <v>1.5023209720021131</v>
      </c>
      <c r="I7" s="16">
        <f t="shared" si="0"/>
        <v>1.626423380591368</v>
      </c>
      <c r="J7" s="16">
        <f t="shared" si="0"/>
        <v>1.716496674658323</v>
      </c>
      <c r="K7" s="16">
        <f t="shared" si="0"/>
        <v>1.800545218256476</v>
      </c>
      <c r="L7" s="16">
        <f t="shared" si="0"/>
        <v>1.8337428917684349</v>
      </c>
      <c r="M7" s="16">
        <f t="shared" si="0"/>
        <v>1.9308341737501804</v>
      </c>
      <c r="N7" s="16">
        <f t="shared" si="0"/>
        <v>2.02554908852668</v>
      </c>
      <c r="O7" s="16">
        <f t="shared" si="0"/>
        <v>2.050861790895798</v>
      </c>
      <c r="P7" s="4"/>
      <c r="Q7" s="126"/>
      <c r="R7" s="126"/>
      <c r="S7" s="126"/>
      <c r="T7" s="127"/>
    </row>
    <row r="8" spans="1:17" ht="27.75" customHeight="1" thickBot="1">
      <c r="A8" s="128" t="s">
        <v>72</v>
      </c>
      <c r="B8" s="129"/>
      <c r="C8" s="5">
        <f aca="true" t="shared" si="1" ref="C8:O8">C7/$O4*$H4</f>
        <v>12.936343242537188</v>
      </c>
      <c r="D8" s="5">
        <f t="shared" si="1"/>
        <v>14.555135192162432</v>
      </c>
      <c r="E8" s="5">
        <f t="shared" si="1"/>
        <v>16.73046128234371</v>
      </c>
      <c r="F8" s="5">
        <f t="shared" si="1"/>
        <v>18.20420961185534</v>
      </c>
      <c r="G8" s="5">
        <f t="shared" si="1"/>
        <v>20.11606724232416</v>
      </c>
      <c r="H8" s="5">
        <f t="shared" si="1"/>
        <v>22.054633484307665</v>
      </c>
      <c r="I8" s="5">
        <f t="shared" si="1"/>
        <v>23.876503235821698</v>
      </c>
      <c r="J8" s="5">
        <f t="shared" si="1"/>
        <v>25.198812864984063</v>
      </c>
      <c r="K8" s="5">
        <f t="shared" si="1"/>
        <v>26.43267690502125</v>
      </c>
      <c r="L8" s="5">
        <f t="shared" si="1"/>
        <v>26.920031162522044</v>
      </c>
      <c r="M8" s="5">
        <f t="shared" si="1"/>
        <v>28.345367477820417</v>
      </c>
      <c r="N8" s="5">
        <f t="shared" si="1"/>
        <v>29.735817834184203</v>
      </c>
      <c r="O8" s="6">
        <f t="shared" si="1"/>
        <v>30.10741776765533</v>
      </c>
      <c r="P8" s="72" t="s">
        <v>45</v>
      </c>
      <c r="Q8" s="3"/>
    </row>
    <row r="9" spans="1:16" ht="21" customHeight="1" thickBot="1">
      <c r="A9" s="19"/>
      <c r="B9" s="20" t="s">
        <v>73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75">
        <f>SUM(C9:O9)/H4*O4</f>
        <v>0</v>
      </c>
    </row>
    <row r="10" spans="1:15" ht="30.75" customHeight="1">
      <c r="A10" s="128" t="s">
        <v>18</v>
      </c>
      <c r="B10" s="129"/>
      <c r="C10" s="5">
        <f>C9-C8</f>
        <v>-12.936343242537188</v>
      </c>
      <c r="D10" s="5">
        <f>IF(C13="",D9-D8+C10,D9-D8+((C13-1)*$J4)/$M4*$H4)</f>
        <v>-27.49147843469962</v>
      </c>
      <c r="E10" s="5">
        <f>IF(D13="",E9-E8+D10,E9-E8+((D13-1)*$J4)/$M4*$H4)</f>
        <v>-44.22193971704333</v>
      </c>
      <c r="F10" s="5">
        <f aca="true" t="shared" si="2" ref="F10:O10">IF(E13="",F9-F8+E10,F9-F8+((E13-1)*$J4)/$M4*$H4)</f>
        <v>-62.42614932889867</v>
      </c>
      <c r="G10" s="5">
        <f t="shared" si="2"/>
        <v>-82.54221657122282</v>
      </c>
      <c r="H10" s="5">
        <f t="shared" si="2"/>
        <v>-104.5968500555305</v>
      </c>
      <c r="I10" s="5">
        <f t="shared" si="2"/>
        <v>-128.4733532913522</v>
      </c>
      <c r="J10" s="5">
        <f t="shared" si="2"/>
        <v>-153.67216615633626</v>
      </c>
      <c r="K10" s="5">
        <f t="shared" si="2"/>
        <v>-180.1048430613575</v>
      </c>
      <c r="L10" s="5">
        <f t="shared" si="2"/>
        <v>-207.02487422387955</v>
      </c>
      <c r="M10" s="5">
        <f t="shared" si="2"/>
        <v>-235.37024170169997</v>
      </c>
      <c r="N10" s="5">
        <f t="shared" si="2"/>
        <v>-265.1060595358842</v>
      </c>
      <c r="O10" s="5">
        <f t="shared" si="2"/>
        <v>-295.2134773035395</v>
      </c>
    </row>
    <row r="11" spans="1:16" ht="31.5" customHeight="1" thickBot="1">
      <c r="A11" s="128" t="s">
        <v>17</v>
      </c>
      <c r="B11" s="129"/>
      <c r="C11" s="7">
        <f>C10/$H4*$O4/$I4</f>
        <v>-1.7623997032741008</v>
      </c>
      <c r="D11" s="7">
        <f aca="true" t="shared" si="3" ref="D11:O11">D10/$H4*$O4/$I4</f>
        <v>-3.74533765280476</v>
      </c>
      <c r="E11" s="7">
        <f t="shared" si="3"/>
        <v>-6.024634007796836</v>
      </c>
      <c r="F11" s="7">
        <f t="shared" si="3"/>
        <v>-8.50470840105953</v>
      </c>
      <c r="G11" s="7">
        <f t="shared" si="3"/>
        <v>-11.245247228317849</v>
      </c>
      <c r="H11" s="7">
        <f t="shared" si="3"/>
        <v>-14.249889172322078</v>
      </c>
      <c r="I11" s="7">
        <f t="shared" si="3"/>
        <v>-17.502735933504812</v>
      </c>
      <c r="J11" s="7">
        <f t="shared" si="3"/>
        <v>-20.93572928282146</v>
      </c>
      <c r="K11" s="7">
        <f t="shared" si="3"/>
        <v>-24.536819719334414</v>
      </c>
      <c r="L11" s="7">
        <f t="shared" si="3"/>
        <v>-28.20430550287128</v>
      </c>
      <c r="M11" s="7">
        <f t="shared" si="3"/>
        <v>-32.06597385037164</v>
      </c>
      <c r="N11" s="7">
        <f t="shared" si="3"/>
        <v>-36.117072027425</v>
      </c>
      <c r="O11" s="7">
        <f t="shared" si="3"/>
        <v>-40.21879560921659</v>
      </c>
      <c r="P11" s="2" t="s">
        <v>44</v>
      </c>
    </row>
    <row r="12" spans="1:16" s="12" customFormat="1" ht="31.5" customHeight="1" thickBot="1">
      <c r="A12" s="130" t="s">
        <v>16</v>
      </c>
      <c r="B12" s="131"/>
      <c r="C12" s="13">
        <f>($J4+C11)/$J4</f>
        <v>0.8272157153652843</v>
      </c>
      <c r="D12" s="13">
        <f aca="true" t="shared" si="4" ref="D12:O12">($J4+D11)/$J4</f>
        <v>0.632810034038749</v>
      </c>
      <c r="E12" s="13">
        <f t="shared" si="4"/>
        <v>0.40934960707874163</v>
      </c>
      <c r="F12" s="13">
        <f t="shared" si="4"/>
        <v>0.16620505871965405</v>
      </c>
      <c r="G12" s="13">
        <f t="shared" si="4"/>
        <v>-0.1024752184625341</v>
      </c>
      <c r="H12" s="13">
        <f t="shared" si="4"/>
        <v>-0.3970479580707918</v>
      </c>
      <c r="I12" s="13">
        <f t="shared" si="4"/>
        <v>-0.7159545032847854</v>
      </c>
      <c r="J12" s="13">
        <f t="shared" si="4"/>
        <v>-1.0525224787079859</v>
      </c>
      <c r="K12" s="13">
        <f t="shared" si="4"/>
        <v>-1.4055705607190598</v>
      </c>
      <c r="L12" s="13">
        <f t="shared" si="4"/>
        <v>-1.7651279904775758</v>
      </c>
      <c r="M12" s="13">
        <f t="shared" si="4"/>
        <v>-2.143722926507023</v>
      </c>
      <c r="N12" s="13">
        <f t="shared" si="4"/>
        <v>-2.540889414453431</v>
      </c>
      <c r="O12" s="13">
        <f t="shared" si="4"/>
        <v>-2.943019177374175</v>
      </c>
      <c r="P12" s="76">
        <f>O11</f>
        <v>-40.21879560921659</v>
      </c>
    </row>
    <row r="13" spans="1:15" s="11" customFormat="1" ht="32.25" customHeight="1" thickBot="1">
      <c r="A13" s="132" t="s">
        <v>21</v>
      </c>
      <c r="B13" s="13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6" s="39" customFormat="1" ht="11.2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1"/>
    </row>
    <row r="15" spans="1:15" ht="12.75" customHeight="1">
      <c r="A15" s="121" t="s">
        <v>55</v>
      </c>
      <c r="B15" s="12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s="31" customFormat="1" ht="15">
      <c r="A16" s="123"/>
      <c r="B16" s="123"/>
      <c r="C16" s="46">
        <v>36897</v>
      </c>
      <c r="D16" s="46">
        <v>36904</v>
      </c>
      <c r="E16" s="46">
        <v>36911</v>
      </c>
      <c r="F16" s="46">
        <v>36918</v>
      </c>
      <c r="G16" s="46">
        <v>36925</v>
      </c>
      <c r="H16" s="46">
        <v>36932</v>
      </c>
      <c r="I16" s="46">
        <v>36939</v>
      </c>
      <c r="J16" s="46">
        <v>36946</v>
      </c>
      <c r="K16" s="46">
        <v>36953</v>
      </c>
      <c r="L16" s="46">
        <v>36960</v>
      </c>
      <c r="M16" s="46">
        <v>36967</v>
      </c>
      <c r="N16" s="46">
        <v>36974</v>
      </c>
      <c r="O16" s="46">
        <v>36981</v>
      </c>
    </row>
    <row r="17" spans="1:15" ht="14.25">
      <c r="A17" s="51"/>
      <c r="B17" s="56" t="s">
        <v>24</v>
      </c>
      <c r="C17" s="50">
        <v>0.0856418383518225</v>
      </c>
      <c r="D17" s="50">
        <v>0.11011093502377178</v>
      </c>
      <c r="E17" s="50">
        <v>0.11826730058108821</v>
      </c>
      <c r="F17" s="50">
        <v>0.1427363972530375</v>
      </c>
      <c r="G17" s="50">
        <v>0.1672054939249868</v>
      </c>
      <c r="H17" s="50">
        <v>0.18759640781827788</v>
      </c>
      <c r="I17" s="50">
        <v>0.2161436872688854</v>
      </c>
      <c r="J17" s="50">
        <v>0.24469096671949286</v>
      </c>
      <c r="K17" s="50">
        <v>0.2911822503961965</v>
      </c>
      <c r="L17" s="50">
        <v>0.4821727587205836</v>
      </c>
      <c r="M17" s="50">
        <v>0.5676830427892234</v>
      </c>
      <c r="N17" s="50">
        <v>0.6521788601576761</v>
      </c>
      <c r="O17" s="50">
        <v>0.7813987886829078</v>
      </c>
    </row>
    <row r="18" spans="1:15" ht="12.75">
      <c r="A18" s="51"/>
      <c r="B18" s="56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31" customFormat="1" ht="15">
      <c r="A19" s="55"/>
      <c r="B19" s="57"/>
      <c r="C19" s="46">
        <v>36988</v>
      </c>
      <c r="D19" s="46">
        <v>36995</v>
      </c>
      <c r="E19" s="46">
        <v>37002</v>
      </c>
      <c r="F19" s="46">
        <v>37009</v>
      </c>
      <c r="G19" s="46">
        <v>37016</v>
      </c>
      <c r="H19" s="46">
        <v>37023</v>
      </c>
      <c r="I19" s="46">
        <v>37030</v>
      </c>
      <c r="J19" s="46">
        <v>37037</v>
      </c>
      <c r="K19" s="46">
        <v>37044</v>
      </c>
      <c r="L19" s="46">
        <v>37051</v>
      </c>
      <c r="M19" s="46">
        <v>37058</v>
      </c>
      <c r="N19" s="46">
        <v>37065</v>
      </c>
      <c r="O19" s="46">
        <v>37072</v>
      </c>
    </row>
    <row r="20" spans="1:15" ht="14.25">
      <c r="A20" s="51"/>
      <c r="B20" s="56" t="s">
        <v>25</v>
      </c>
      <c r="C20" s="50">
        <v>0.8811998516370503</v>
      </c>
      <c r="D20" s="50">
        <v>0.9914689747653297</v>
      </c>
      <c r="E20" s="50">
        <v>1.139648177496038</v>
      </c>
      <c r="F20" s="50">
        <v>1.2400371966313475</v>
      </c>
      <c r="G20" s="50">
        <v>1.37026941362916</v>
      </c>
      <c r="H20" s="50">
        <v>1.5023209720021131</v>
      </c>
      <c r="I20" s="50">
        <v>1.626423380591368</v>
      </c>
      <c r="J20" s="50">
        <v>1.716496674658323</v>
      </c>
      <c r="K20" s="50">
        <v>1.800545218256476</v>
      </c>
      <c r="L20" s="50">
        <v>1.8337428917684349</v>
      </c>
      <c r="M20" s="50">
        <v>1.9308341737501804</v>
      </c>
      <c r="N20" s="50">
        <v>2.02554908852668</v>
      </c>
      <c r="O20" s="50">
        <v>2.050861790895798</v>
      </c>
    </row>
    <row r="21" spans="1:15" ht="12.75">
      <c r="A21" s="51"/>
      <c r="B21" s="56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s="31" customFormat="1" ht="15">
      <c r="A22" s="55"/>
      <c r="B22" s="57"/>
      <c r="C22" s="46">
        <v>37079</v>
      </c>
      <c r="D22" s="46">
        <v>37086</v>
      </c>
      <c r="E22" s="46">
        <v>37093</v>
      </c>
      <c r="F22" s="46">
        <v>37100</v>
      </c>
      <c r="G22" s="46">
        <v>37107</v>
      </c>
      <c r="H22" s="46">
        <v>37114</v>
      </c>
      <c r="I22" s="46">
        <v>37121</v>
      </c>
      <c r="J22" s="46">
        <v>37128</v>
      </c>
      <c r="K22" s="46">
        <v>37135</v>
      </c>
      <c r="L22" s="46">
        <v>37142</v>
      </c>
      <c r="M22" s="46">
        <v>37149</v>
      </c>
      <c r="N22" s="46">
        <v>37156</v>
      </c>
      <c r="O22" s="46">
        <v>37163</v>
      </c>
    </row>
    <row r="23" spans="1:15" ht="14.25">
      <c r="A23" s="51"/>
      <c r="B23" s="56" t="s">
        <v>26</v>
      </c>
      <c r="C23" s="50">
        <v>2.0747090210224934</v>
      </c>
      <c r="D23" s="50">
        <v>2.0737764477773153</v>
      </c>
      <c r="E23" s="50">
        <v>1.9955845939586034</v>
      </c>
      <c r="F23" s="50">
        <v>1.993662330004054</v>
      </c>
      <c r="G23" s="50">
        <v>1.9135327922649636</v>
      </c>
      <c r="H23" s="50">
        <v>1.8894685416624872</v>
      </c>
      <c r="I23" s="50">
        <v>1.8197177812995247</v>
      </c>
      <c r="J23" s="50">
        <v>1.7394276595037297</v>
      </c>
      <c r="K23" s="50">
        <v>1.6591007116000123</v>
      </c>
      <c r="L23" s="50">
        <v>1.5543993660855786</v>
      </c>
      <c r="M23" s="50">
        <v>1.446075634691278</v>
      </c>
      <c r="N23" s="50">
        <v>1.3275270649471496</v>
      </c>
      <c r="O23" s="50">
        <v>1.1605766700283342</v>
      </c>
    </row>
    <row r="24" spans="1:15" ht="12.75">
      <c r="A24" s="51"/>
      <c r="B24" s="56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s="31" customFormat="1" ht="15">
      <c r="A25" s="55"/>
      <c r="B25" s="57"/>
      <c r="C25" s="46">
        <v>37170</v>
      </c>
      <c r="D25" s="46">
        <v>37177</v>
      </c>
      <c r="E25" s="46">
        <v>37184</v>
      </c>
      <c r="F25" s="46">
        <v>37191</v>
      </c>
      <c r="G25" s="46">
        <v>37198</v>
      </c>
      <c r="H25" s="46">
        <v>37205</v>
      </c>
      <c r="I25" s="46">
        <v>37212</v>
      </c>
      <c r="J25" s="46">
        <v>37219</v>
      </c>
      <c r="K25" s="46">
        <v>37226</v>
      </c>
      <c r="L25" s="46">
        <v>37233</v>
      </c>
      <c r="M25" s="46">
        <v>37240</v>
      </c>
      <c r="N25" s="46">
        <v>37247</v>
      </c>
      <c r="O25" s="46">
        <v>37254</v>
      </c>
    </row>
    <row r="26" spans="1:15" ht="14.25">
      <c r="A26" s="51"/>
      <c r="B26" s="56" t="s">
        <v>27</v>
      </c>
      <c r="C26" s="50">
        <v>1.0414047543581617</v>
      </c>
      <c r="D26" s="50">
        <v>0.8812545166402536</v>
      </c>
      <c r="E26" s="50">
        <v>0.7895361859482304</v>
      </c>
      <c r="F26" s="50">
        <v>0.6438792836085409</v>
      </c>
      <c r="G26" s="50">
        <v>0.5261317465538379</v>
      </c>
      <c r="H26" s="50">
        <v>0.4069284925322961</v>
      </c>
      <c r="I26" s="50">
        <v>0.3279765216880906</v>
      </c>
      <c r="J26" s="50">
        <v>0.24969353759464694</v>
      </c>
      <c r="K26" s="50">
        <v>0.17842049656629685</v>
      </c>
      <c r="L26" s="50">
        <v>0.12234548335974643</v>
      </c>
      <c r="M26" s="50">
        <v>0.11418911780243002</v>
      </c>
      <c r="N26" s="50">
        <v>0.10195456946645537</v>
      </c>
      <c r="O26" s="50">
        <v>0.0856418383518225</v>
      </c>
    </row>
  </sheetData>
  <sheetProtection/>
  <mergeCells count="7">
    <mergeCell ref="Q5:T7"/>
    <mergeCell ref="A15:B16"/>
    <mergeCell ref="A13:B13"/>
    <mergeCell ref="A12:B12"/>
    <mergeCell ref="A11:B11"/>
    <mergeCell ref="A8:B8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8" sqref="A8:B9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8.140625" style="0" customWidth="1"/>
    <col min="8" max="8" width="8.421875" style="0" customWidth="1"/>
    <col min="9" max="10" width="7.7109375" style="0" customWidth="1"/>
    <col min="11" max="11" width="6.7109375" style="0" customWidth="1"/>
    <col min="12" max="12" width="7.00390625" style="0" customWidth="1"/>
    <col min="13" max="15" width="7.7109375" style="0" customWidth="1"/>
    <col min="16" max="16" width="12.8515625" style="0" customWidth="1"/>
  </cols>
  <sheetData>
    <row r="1" spans="2:4" ht="19.5" customHeight="1">
      <c r="B1" s="32" t="s">
        <v>28</v>
      </c>
      <c r="D1" s="40" t="s">
        <v>34</v>
      </c>
    </row>
    <row r="2" ht="5.25" customHeight="1" thickBot="1"/>
    <row r="3" spans="1:15" s="1" customFormat="1" ht="48.75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19</v>
      </c>
      <c r="G3" s="8" t="s">
        <v>14</v>
      </c>
      <c r="H3" s="8" t="s">
        <v>4</v>
      </c>
      <c r="I3" s="8" t="s">
        <v>5</v>
      </c>
      <c r="J3" s="9" t="s">
        <v>8</v>
      </c>
      <c r="K3" s="8" t="s">
        <v>12</v>
      </c>
      <c r="L3" s="8" t="s">
        <v>20</v>
      </c>
      <c r="M3" s="8" t="s">
        <v>9</v>
      </c>
      <c r="N3" s="8" t="s">
        <v>10</v>
      </c>
      <c r="O3" s="10" t="s">
        <v>11</v>
      </c>
    </row>
    <row r="4" spans="1:16" s="2" customFormat="1" ht="56.25" customHeight="1" thickBot="1" thickTop="1">
      <c r="A4" s="23">
        <v>1</v>
      </c>
      <c r="B4" s="24" t="s">
        <v>13</v>
      </c>
      <c r="C4" s="25">
        <v>2.6</v>
      </c>
      <c r="D4" s="25">
        <v>0.9</v>
      </c>
      <c r="E4" s="26">
        <v>4</v>
      </c>
      <c r="F4" s="26" t="s">
        <v>30</v>
      </c>
      <c r="G4" s="26" t="s">
        <v>31</v>
      </c>
      <c r="H4" s="27">
        <v>24</v>
      </c>
      <c r="I4" s="28">
        <v>0.5</v>
      </c>
      <c r="J4" s="41">
        <f>(C4-D4)*E4</f>
        <v>6.800000000000001</v>
      </c>
      <c r="K4" s="27">
        <v>400</v>
      </c>
      <c r="L4" s="27">
        <v>10.7</v>
      </c>
      <c r="M4" s="42">
        <f>L4*H4/7.48/K4/I4*12</f>
        <v>2.0598930481283415</v>
      </c>
      <c r="N4" s="29">
        <v>2</v>
      </c>
      <c r="O4" s="43">
        <f>L4*H4/7.48/K4*12</f>
        <v>1.0299465240641708</v>
      </c>
      <c r="P4" s="78" t="s">
        <v>48</v>
      </c>
    </row>
    <row r="5" spans="1:20" ht="25.5" customHeight="1" thickBot="1">
      <c r="A5" s="44"/>
      <c r="B5" s="45" t="s">
        <v>15</v>
      </c>
      <c r="C5" s="46">
        <v>36988</v>
      </c>
      <c r="D5" s="46">
        <v>36995</v>
      </c>
      <c r="E5" s="46">
        <v>37002</v>
      </c>
      <c r="F5" s="46">
        <v>37009</v>
      </c>
      <c r="G5" s="46">
        <v>37016</v>
      </c>
      <c r="H5" s="46">
        <v>37023</v>
      </c>
      <c r="I5" s="46">
        <v>37030</v>
      </c>
      <c r="J5" s="46">
        <v>37037</v>
      </c>
      <c r="K5" s="46">
        <v>37044</v>
      </c>
      <c r="L5" s="46">
        <v>37051</v>
      </c>
      <c r="M5" s="46">
        <v>37058</v>
      </c>
      <c r="N5" s="46">
        <v>37065</v>
      </c>
      <c r="O5" s="46">
        <v>37072</v>
      </c>
      <c r="P5" s="71" t="s">
        <v>47</v>
      </c>
      <c r="Q5" s="124" t="s">
        <v>56</v>
      </c>
      <c r="R5" s="125"/>
      <c r="S5" s="126"/>
      <c r="T5" s="127"/>
    </row>
    <row r="6" spans="1:20" ht="20.25" customHeight="1" thickBot="1">
      <c r="A6" s="47"/>
      <c r="B6" s="48" t="s">
        <v>38</v>
      </c>
      <c r="C6" s="49">
        <v>0.8350079239302693</v>
      </c>
      <c r="D6" s="50">
        <v>0.9206497622820917</v>
      </c>
      <c r="E6" s="50">
        <v>0.9848811410459587</v>
      </c>
      <c r="F6" s="50">
        <v>1.0419756999471737</v>
      </c>
      <c r="G6" s="50">
        <v>1.1133438985736923</v>
      </c>
      <c r="H6" s="50">
        <v>1.1633016376122556</v>
      </c>
      <c r="I6" s="50">
        <v>1.2132593766508186</v>
      </c>
      <c r="J6" s="50">
        <v>1.226640913893291</v>
      </c>
      <c r="K6" s="50">
        <v>1.2456299524564185</v>
      </c>
      <c r="L6" s="50">
        <v>1.2454999999999998</v>
      </c>
      <c r="M6" s="50">
        <v>1.2415</v>
      </c>
      <c r="N6" s="50">
        <v>1.252511885895404</v>
      </c>
      <c r="O6" s="50">
        <v>1.261</v>
      </c>
      <c r="P6" s="75">
        <f>SUM(C6:O6)</f>
        <v>14.745202192287373</v>
      </c>
      <c r="Q6" s="125"/>
      <c r="R6" s="125"/>
      <c r="S6" s="126"/>
      <c r="T6" s="127"/>
    </row>
    <row r="7" spans="1:20" ht="24" customHeight="1" thickBot="1">
      <c r="A7" s="14"/>
      <c r="B7" s="15" t="s">
        <v>23</v>
      </c>
      <c r="C7" s="16">
        <f aca="true" t="shared" si="0" ref="C7:O7">C6*$A4</f>
        <v>0.8350079239302693</v>
      </c>
      <c r="D7" s="16">
        <f t="shared" si="0"/>
        <v>0.9206497622820917</v>
      </c>
      <c r="E7" s="16">
        <f t="shared" si="0"/>
        <v>0.9848811410459587</v>
      </c>
      <c r="F7" s="16">
        <f t="shared" si="0"/>
        <v>1.0419756999471737</v>
      </c>
      <c r="G7" s="16">
        <f t="shared" si="0"/>
        <v>1.1133438985736923</v>
      </c>
      <c r="H7" s="16">
        <f t="shared" si="0"/>
        <v>1.1633016376122556</v>
      </c>
      <c r="I7" s="16">
        <f t="shared" si="0"/>
        <v>1.2132593766508186</v>
      </c>
      <c r="J7" s="16">
        <f t="shared" si="0"/>
        <v>1.226640913893291</v>
      </c>
      <c r="K7" s="16">
        <f t="shared" si="0"/>
        <v>1.2456299524564185</v>
      </c>
      <c r="L7" s="16">
        <f t="shared" si="0"/>
        <v>1.2454999999999998</v>
      </c>
      <c r="M7" s="16">
        <f t="shared" si="0"/>
        <v>1.2415</v>
      </c>
      <c r="N7" s="16">
        <f t="shared" si="0"/>
        <v>1.252511885895404</v>
      </c>
      <c r="O7" s="16">
        <f t="shared" si="0"/>
        <v>1.261</v>
      </c>
      <c r="P7" s="4"/>
      <c r="Q7" s="126"/>
      <c r="R7" s="126"/>
      <c r="S7" s="126"/>
      <c r="T7" s="127"/>
    </row>
    <row r="8" spans="1:17" ht="27.75" customHeight="1" thickBot="1">
      <c r="A8" s="128" t="s">
        <v>72</v>
      </c>
      <c r="B8" s="129"/>
      <c r="C8" s="5">
        <f aca="true" t="shared" si="1" ref="C8:O8">C7/$O4*$H4</f>
        <v>19.457505517129025</v>
      </c>
      <c r="D8" s="5">
        <f t="shared" si="1"/>
        <v>21.453147108629434</v>
      </c>
      <c r="E8" s="5">
        <f t="shared" si="1"/>
        <v>22.949878302254746</v>
      </c>
      <c r="F8" s="5">
        <f t="shared" si="1"/>
        <v>24.28030602992169</v>
      </c>
      <c r="G8" s="5">
        <f t="shared" si="1"/>
        <v>25.943340689505362</v>
      </c>
      <c r="H8" s="5">
        <f t="shared" si="1"/>
        <v>27.107464951213938</v>
      </c>
      <c r="I8" s="5">
        <f t="shared" si="1"/>
        <v>28.271589212922514</v>
      </c>
      <c r="J8" s="5">
        <f t="shared" si="1"/>
        <v>28.583408211594453</v>
      </c>
      <c r="K8" s="5">
        <f t="shared" si="1"/>
        <v>29.025894219233685</v>
      </c>
      <c r="L8" s="5">
        <f t="shared" si="1"/>
        <v>29.02286604361371</v>
      </c>
      <c r="M8" s="5">
        <f t="shared" si="1"/>
        <v>28.929657320872284</v>
      </c>
      <c r="N8" s="5">
        <f t="shared" si="1"/>
        <v>29.18625827569354</v>
      </c>
      <c r="O8" s="6">
        <f t="shared" si="1"/>
        <v>29.38404984423677</v>
      </c>
      <c r="P8" s="72" t="s">
        <v>45</v>
      </c>
      <c r="Q8" s="3"/>
    </row>
    <row r="9" spans="1:16" ht="21" customHeight="1" thickBot="1">
      <c r="A9" s="19"/>
      <c r="B9" s="20" t="s">
        <v>73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75">
        <f>SUM(C9:O9)/H4*O4</f>
        <v>0</v>
      </c>
    </row>
    <row r="10" spans="1:15" ht="30.75" customHeight="1">
      <c r="A10" s="128" t="s">
        <v>18</v>
      </c>
      <c r="B10" s="129"/>
      <c r="C10" s="5">
        <f>C9-C8</f>
        <v>-19.457505517129025</v>
      </c>
      <c r="D10" s="5">
        <f aca="true" t="shared" si="2" ref="D10:O10">IF(C13="",D9-D8+C10,D9-D8+((C13-1)*$J4)/$M4*$H4)</f>
        <v>-40.91065262575846</v>
      </c>
      <c r="E10" s="5">
        <f t="shared" si="2"/>
        <v>-63.860530928013205</v>
      </c>
      <c r="F10" s="5">
        <f t="shared" si="2"/>
        <v>-88.1408369579349</v>
      </c>
      <c r="G10" s="5">
        <f t="shared" si="2"/>
        <v>-114.08417764744026</v>
      </c>
      <c r="H10" s="5">
        <f t="shared" si="2"/>
        <v>-141.1916425986542</v>
      </c>
      <c r="I10" s="5">
        <f t="shared" si="2"/>
        <v>-169.46323181157672</v>
      </c>
      <c r="J10" s="5">
        <f t="shared" si="2"/>
        <v>-198.04664002317116</v>
      </c>
      <c r="K10" s="5">
        <f t="shared" si="2"/>
        <v>-227.07253424240486</v>
      </c>
      <c r="L10" s="5">
        <f t="shared" si="2"/>
        <v>-256.09540028601856</v>
      </c>
      <c r="M10" s="5">
        <f t="shared" si="2"/>
        <v>-285.02505760689087</v>
      </c>
      <c r="N10" s="5">
        <f t="shared" si="2"/>
        <v>-314.2113158825844</v>
      </c>
      <c r="O10" s="5">
        <f t="shared" si="2"/>
        <v>-343.59536572682117</v>
      </c>
    </row>
    <row r="11" spans="1:16" ht="31.5" customHeight="1" thickBot="1">
      <c r="A11" s="128" t="s">
        <v>17</v>
      </c>
      <c r="B11" s="129"/>
      <c r="C11" s="7">
        <f aca="true" t="shared" si="3" ref="C11:O11">C10/$H4*$O4/$I4</f>
        <v>-1.6700158478605387</v>
      </c>
      <c r="D11" s="7">
        <f t="shared" si="3"/>
        <v>-3.511315372424722</v>
      </c>
      <c r="E11" s="7">
        <f t="shared" si="3"/>
        <v>-5.48107765451664</v>
      </c>
      <c r="F11" s="7">
        <f t="shared" si="3"/>
        <v>-7.565029054410987</v>
      </c>
      <c r="G11" s="7">
        <f t="shared" si="3"/>
        <v>-9.791716851558371</v>
      </c>
      <c r="H11" s="7">
        <f t="shared" si="3"/>
        <v>-12.118320126782882</v>
      </c>
      <c r="I11" s="7">
        <f t="shared" si="3"/>
        <v>-14.544838880084521</v>
      </c>
      <c r="J11" s="7">
        <f t="shared" si="3"/>
        <v>-16.998120707871102</v>
      </c>
      <c r="K11" s="7">
        <f t="shared" si="3"/>
        <v>-19.48938061278394</v>
      </c>
      <c r="L11" s="7">
        <f t="shared" si="3"/>
        <v>-21.980380612783936</v>
      </c>
      <c r="M11" s="7">
        <f t="shared" si="3"/>
        <v>-24.46338061278394</v>
      </c>
      <c r="N11" s="7">
        <f t="shared" si="3"/>
        <v>-26.96840438457475</v>
      </c>
      <c r="O11" s="7">
        <f t="shared" si="3"/>
        <v>-29.490404384574745</v>
      </c>
      <c r="P11" s="2" t="s">
        <v>44</v>
      </c>
    </row>
    <row r="12" spans="1:16" s="12" customFormat="1" ht="31.5" customHeight="1" thickBot="1">
      <c r="A12" s="130" t="s">
        <v>16</v>
      </c>
      <c r="B12" s="131"/>
      <c r="C12" s="13">
        <f aca="true" t="shared" si="4" ref="C12:O12">($J4+C11)/$J4</f>
        <v>0.7544094341381561</v>
      </c>
      <c r="D12" s="13">
        <f t="shared" si="4"/>
        <v>0.48363009229048215</v>
      </c>
      <c r="E12" s="13">
        <f t="shared" si="4"/>
        <v>0.1939591684534354</v>
      </c>
      <c r="F12" s="13">
        <f t="shared" si="4"/>
        <v>-0.11250427270749795</v>
      </c>
      <c r="G12" s="13">
        <f t="shared" si="4"/>
        <v>-0.4399583605232898</v>
      </c>
      <c r="H12" s="13">
        <f t="shared" si="4"/>
        <v>-0.7821059009974825</v>
      </c>
      <c r="I12" s="13">
        <f t="shared" si="4"/>
        <v>-1.1389468941300764</v>
      </c>
      <c r="J12" s="13">
        <f t="shared" si="4"/>
        <v>-1.499723633510456</v>
      </c>
      <c r="K12" s="13">
        <f t="shared" si="4"/>
        <v>-1.866085384232932</v>
      </c>
      <c r="L12" s="13">
        <f t="shared" si="4"/>
        <v>-2.2324089136446963</v>
      </c>
      <c r="M12" s="13">
        <f t="shared" si="4"/>
        <v>-2.5975559724682262</v>
      </c>
      <c r="N12" s="13">
        <f t="shared" si="4"/>
        <v>-2.9659418212609925</v>
      </c>
      <c r="O12" s="13">
        <f t="shared" si="4"/>
        <v>-3.336824174202168</v>
      </c>
      <c r="P12" s="76">
        <f>O11</f>
        <v>-29.490404384574745</v>
      </c>
    </row>
    <row r="13" spans="1:15" s="11" customFormat="1" ht="32.25" customHeight="1" thickBot="1">
      <c r="A13" s="132" t="s">
        <v>21</v>
      </c>
      <c r="B13" s="13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 s="11" customFormat="1" ht="9" customHeight="1" thickBo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121" t="s">
        <v>55</v>
      </c>
      <c r="B15" s="12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s="31" customFormat="1" ht="15">
      <c r="A16" s="123"/>
      <c r="B16" s="123"/>
      <c r="C16" s="46">
        <v>36897</v>
      </c>
      <c r="D16" s="46">
        <v>36904</v>
      </c>
      <c r="E16" s="46">
        <v>36911</v>
      </c>
      <c r="F16" s="46">
        <v>36918</v>
      </c>
      <c r="G16" s="46">
        <v>36925</v>
      </c>
      <c r="H16" s="46">
        <v>36932</v>
      </c>
      <c r="I16" s="46">
        <v>36939</v>
      </c>
      <c r="J16" s="46">
        <v>36946</v>
      </c>
      <c r="K16" s="46">
        <v>36953</v>
      </c>
      <c r="L16" s="46">
        <v>36960</v>
      </c>
      <c r="M16" s="46">
        <v>36967</v>
      </c>
      <c r="N16" s="46">
        <v>36974</v>
      </c>
      <c r="O16" s="46">
        <v>36981</v>
      </c>
    </row>
    <row r="17" spans="1:15" ht="14.25">
      <c r="A17" s="51"/>
      <c r="B17" s="52" t="s">
        <v>24</v>
      </c>
      <c r="C17" s="49">
        <v>0.1605784469096672</v>
      </c>
      <c r="D17" s="50">
        <v>0.20645800316957208</v>
      </c>
      <c r="E17" s="50">
        <v>0.2217511885895404</v>
      </c>
      <c r="F17" s="50">
        <v>0.26763074484944527</v>
      </c>
      <c r="G17" s="50">
        <v>0.3135103011093502</v>
      </c>
      <c r="H17" s="50">
        <v>0.34588087691494984</v>
      </c>
      <c r="I17" s="50">
        <v>0.39851492340200745</v>
      </c>
      <c r="J17" s="50">
        <v>0.44350237717908075</v>
      </c>
      <c r="K17" s="50">
        <v>0.5026360274696249</v>
      </c>
      <c r="L17" s="50">
        <v>0.5593482567353407</v>
      </c>
      <c r="M17" s="50">
        <v>0.609</v>
      </c>
      <c r="N17" s="50">
        <v>0.68513470681458</v>
      </c>
      <c r="O17" s="50">
        <v>0.7636397253037507</v>
      </c>
    </row>
    <row r="18" spans="1:15" ht="9" customHeight="1">
      <c r="A18" s="51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31" customFormat="1" ht="15">
      <c r="A19" s="55"/>
      <c r="B19" s="52"/>
      <c r="C19" s="46">
        <v>36988</v>
      </c>
      <c r="D19" s="46">
        <v>36995</v>
      </c>
      <c r="E19" s="46">
        <v>37002</v>
      </c>
      <c r="F19" s="46">
        <v>37009</v>
      </c>
      <c r="G19" s="46">
        <v>37016</v>
      </c>
      <c r="H19" s="46">
        <v>37023</v>
      </c>
      <c r="I19" s="46">
        <v>37030</v>
      </c>
      <c r="J19" s="46">
        <v>37037</v>
      </c>
      <c r="K19" s="46">
        <v>37044</v>
      </c>
      <c r="L19" s="46">
        <v>37051</v>
      </c>
      <c r="M19" s="46">
        <v>37058</v>
      </c>
      <c r="N19" s="46">
        <v>37065</v>
      </c>
      <c r="O19" s="46">
        <v>37072</v>
      </c>
    </row>
    <row r="20" spans="1:15" ht="14.25">
      <c r="A20" s="51"/>
      <c r="B20" s="52" t="s">
        <v>25</v>
      </c>
      <c r="C20" s="49">
        <v>0.8350079239302693</v>
      </c>
      <c r="D20" s="50">
        <v>0.9206497622820917</v>
      </c>
      <c r="E20" s="50">
        <v>0.9848811410459587</v>
      </c>
      <c r="F20" s="50">
        <v>1.0419756999471737</v>
      </c>
      <c r="G20" s="50">
        <v>1.1133438985736923</v>
      </c>
      <c r="H20" s="50">
        <v>1.1633016376122556</v>
      </c>
      <c r="I20" s="50">
        <v>1.2132593766508186</v>
      </c>
      <c r="J20" s="50">
        <v>1.226640913893291</v>
      </c>
      <c r="K20" s="50">
        <v>1.2456299524564185</v>
      </c>
      <c r="L20" s="50">
        <v>1.2454999999999998</v>
      </c>
      <c r="M20" s="50">
        <v>1.2415</v>
      </c>
      <c r="N20" s="50">
        <v>1.252511885895404</v>
      </c>
      <c r="O20" s="50">
        <v>1.261</v>
      </c>
    </row>
    <row r="21" spans="1:15" ht="9.75" customHeight="1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s="31" customFormat="1" ht="15">
      <c r="A22" s="55"/>
      <c r="B22" s="52"/>
      <c r="C22" s="46">
        <v>37079</v>
      </c>
      <c r="D22" s="46">
        <v>37086</v>
      </c>
      <c r="E22" s="46">
        <v>37093</v>
      </c>
      <c r="F22" s="46">
        <v>37100</v>
      </c>
      <c r="G22" s="46">
        <v>37107</v>
      </c>
      <c r="H22" s="46">
        <v>37114</v>
      </c>
      <c r="I22" s="46">
        <v>37121</v>
      </c>
      <c r="J22" s="46">
        <v>37128</v>
      </c>
      <c r="K22" s="46">
        <v>37135</v>
      </c>
      <c r="L22" s="46">
        <v>37142</v>
      </c>
      <c r="M22" s="46">
        <v>37149</v>
      </c>
      <c r="N22" s="46">
        <v>37156</v>
      </c>
      <c r="O22" s="46">
        <v>37163</v>
      </c>
    </row>
    <row r="23" spans="1:15" ht="14.25">
      <c r="A23" s="51"/>
      <c r="B23" s="52" t="s">
        <v>26</v>
      </c>
      <c r="C23" s="49">
        <v>1.261</v>
      </c>
      <c r="D23" s="50">
        <v>1.252511885895404</v>
      </c>
      <c r="E23" s="50">
        <v>1.2285</v>
      </c>
      <c r="F23" s="50">
        <v>1.2061225567881668</v>
      </c>
      <c r="G23" s="50">
        <v>1.17</v>
      </c>
      <c r="H23" s="50">
        <v>1.1398520866349708</v>
      </c>
      <c r="I23" s="50">
        <v>1.1000898045430532</v>
      </c>
      <c r="J23" s="50">
        <v>1.0537004754358164</v>
      </c>
      <c r="K23" s="50">
        <v>1.0591580435660792</v>
      </c>
      <c r="L23" s="50">
        <v>1.0661261885895403</v>
      </c>
      <c r="M23" s="50">
        <v>1.091012420816187</v>
      </c>
      <c r="N23" s="50">
        <v>0.8482620179609087</v>
      </c>
      <c r="O23" s="50">
        <v>0.7902753565768621</v>
      </c>
    </row>
    <row r="24" spans="1:15" ht="14.25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s="31" customFormat="1" ht="15">
      <c r="A25" s="55"/>
      <c r="B25" s="52"/>
      <c r="C25" s="46">
        <v>37170</v>
      </c>
      <c r="D25" s="46">
        <v>37177</v>
      </c>
      <c r="E25" s="46">
        <v>37184</v>
      </c>
      <c r="F25" s="46">
        <v>37191</v>
      </c>
      <c r="G25" s="46">
        <v>37198</v>
      </c>
      <c r="H25" s="46">
        <v>37205</v>
      </c>
      <c r="I25" s="46">
        <v>37212</v>
      </c>
      <c r="J25" s="46">
        <v>37219</v>
      </c>
      <c r="K25" s="46">
        <v>37226</v>
      </c>
      <c r="L25" s="46">
        <v>37233</v>
      </c>
      <c r="M25" s="46">
        <v>37240</v>
      </c>
      <c r="N25" s="46">
        <v>37247</v>
      </c>
      <c r="O25" s="46">
        <v>37254</v>
      </c>
    </row>
    <row r="26" spans="1:15" ht="14.25">
      <c r="A26" s="51"/>
      <c r="B26" s="52" t="s">
        <v>27</v>
      </c>
      <c r="C26" s="49">
        <v>0.757012678288431</v>
      </c>
      <c r="D26" s="50">
        <v>0.6994083465398837</v>
      </c>
      <c r="E26" s="50">
        <v>0.628040147913365</v>
      </c>
      <c r="F26" s="50">
        <v>0.5423983095615424</v>
      </c>
      <c r="G26" s="50">
        <v>0.4710301109350237</v>
      </c>
      <c r="H26" s="50">
        <v>0.39966191230850506</v>
      </c>
      <c r="I26" s="50">
        <v>0.3354305335446381</v>
      </c>
      <c r="J26" s="50">
        <v>0.28</v>
      </c>
      <c r="K26" s="50">
        <v>0.238</v>
      </c>
      <c r="L26" s="50">
        <v>0.20299999999999999</v>
      </c>
      <c r="M26" s="50">
        <v>0.182</v>
      </c>
      <c r="N26" s="50">
        <v>0.161</v>
      </c>
      <c r="O26" s="50">
        <v>0.15522583201267828</v>
      </c>
    </row>
  </sheetData>
  <sheetProtection/>
  <mergeCells count="7">
    <mergeCell ref="Q5:T7"/>
    <mergeCell ref="A15:B16"/>
    <mergeCell ref="A13:B13"/>
    <mergeCell ref="A12:B12"/>
    <mergeCell ref="A11:B11"/>
    <mergeCell ref="A8:B8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8" sqref="A8:B9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8.140625" style="0" customWidth="1"/>
    <col min="8" max="8" width="8.421875" style="0" customWidth="1"/>
    <col min="9" max="10" width="7.7109375" style="0" customWidth="1"/>
    <col min="11" max="11" width="6.7109375" style="0" customWidth="1"/>
    <col min="12" max="12" width="7.00390625" style="0" customWidth="1"/>
    <col min="13" max="15" width="7.7109375" style="0" customWidth="1"/>
    <col min="16" max="16" width="12.8515625" style="0" customWidth="1"/>
  </cols>
  <sheetData>
    <row r="1" spans="2:10" ht="19.5" customHeight="1">
      <c r="B1" s="32" t="s">
        <v>35</v>
      </c>
      <c r="J1" s="40" t="s">
        <v>36</v>
      </c>
    </row>
    <row r="2" ht="5.25" customHeight="1" thickBot="1"/>
    <row r="3" spans="1:15" s="1" customFormat="1" ht="48.75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19</v>
      </c>
      <c r="G3" s="8" t="s">
        <v>14</v>
      </c>
      <c r="H3" s="8" t="s">
        <v>4</v>
      </c>
      <c r="I3" s="8" t="s">
        <v>5</v>
      </c>
      <c r="J3" s="9" t="s">
        <v>8</v>
      </c>
      <c r="K3" s="8" t="s">
        <v>12</v>
      </c>
      <c r="L3" s="8" t="s">
        <v>20</v>
      </c>
      <c r="M3" s="8" t="s">
        <v>9</v>
      </c>
      <c r="N3" s="8" t="s">
        <v>10</v>
      </c>
      <c r="O3" s="10" t="s">
        <v>11</v>
      </c>
    </row>
    <row r="4" spans="1:16" s="2" customFormat="1" ht="56.25" customHeight="1" thickBot="1" thickTop="1">
      <c r="A4" s="23">
        <v>1</v>
      </c>
      <c r="B4" s="24" t="s">
        <v>41</v>
      </c>
      <c r="C4" s="25">
        <v>2.2</v>
      </c>
      <c r="D4" s="25">
        <v>0.9</v>
      </c>
      <c r="E4" s="26">
        <v>6</v>
      </c>
      <c r="F4" s="26" t="s">
        <v>39</v>
      </c>
      <c r="G4" s="26" t="s">
        <v>40</v>
      </c>
      <c r="H4" s="27">
        <v>24</v>
      </c>
      <c r="I4" s="28">
        <v>0.4</v>
      </c>
      <c r="J4" s="41">
        <f>(C4-D4)*E4</f>
        <v>7.800000000000002</v>
      </c>
      <c r="K4" s="27">
        <v>77</v>
      </c>
      <c r="L4" s="27">
        <v>2.1</v>
      </c>
      <c r="M4" s="42">
        <f>L4*H4/7.48/K4/I4*12</f>
        <v>2.6251823043266893</v>
      </c>
      <c r="N4" s="29">
        <v>3</v>
      </c>
      <c r="O4" s="43">
        <f>L4*H4/7.48/K4*12</f>
        <v>1.050072921730676</v>
      </c>
      <c r="P4" s="78" t="s">
        <v>48</v>
      </c>
    </row>
    <row r="5" spans="1:20" ht="23.25" customHeight="1" thickBot="1">
      <c r="A5" s="44"/>
      <c r="B5" s="45" t="s">
        <v>15</v>
      </c>
      <c r="C5" s="46">
        <v>36988</v>
      </c>
      <c r="D5" s="46">
        <v>36995</v>
      </c>
      <c r="E5" s="46">
        <v>37002</v>
      </c>
      <c r="F5" s="46">
        <v>37009</v>
      </c>
      <c r="G5" s="46">
        <v>37016</v>
      </c>
      <c r="H5" s="46">
        <v>37023</v>
      </c>
      <c r="I5" s="46">
        <v>37030</v>
      </c>
      <c r="J5" s="46">
        <v>37037</v>
      </c>
      <c r="K5" s="46">
        <v>37044</v>
      </c>
      <c r="L5" s="46">
        <v>37051</v>
      </c>
      <c r="M5" s="46">
        <v>37058</v>
      </c>
      <c r="N5" s="46">
        <v>37065</v>
      </c>
      <c r="O5" s="46">
        <v>37072</v>
      </c>
      <c r="P5" s="71" t="s">
        <v>47</v>
      </c>
      <c r="Q5" s="124" t="s">
        <v>56</v>
      </c>
      <c r="R5" s="125"/>
      <c r="S5" s="126"/>
      <c r="T5" s="127"/>
    </row>
    <row r="6" spans="1:20" ht="20.25" customHeight="1" thickBot="1">
      <c r="A6" s="47"/>
      <c r="B6" s="48" t="s">
        <v>38</v>
      </c>
      <c r="C6" s="49">
        <v>0.2403540932421884</v>
      </c>
      <c r="D6" s="50">
        <v>0.3945641838351822</v>
      </c>
      <c r="E6" s="50">
        <v>0.315356030384174</v>
      </c>
      <c r="F6" s="50">
        <v>0.7517862192981052</v>
      </c>
      <c r="G6" s="50">
        <v>0.48598344779010383</v>
      </c>
      <c r="H6" s="50">
        <v>0.8139719913321904</v>
      </c>
      <c r="I6" s="50">
        <v>0.9782634763529828</v>
      </c>
      <c r="J6" s="50">
        <v>1.0790700690536519</v>
      </c>
      <c r="K6" s="50">
        <v>1.3493084311754115</v>
      </c>
      <c r="L6" s="50">
        <v>1.6326315789473684</v>
      </c>
      <c r="M6" s="50">
        <v>1.8503125</v>
      </c>
      <c r="N6" s="50">
        <v>2.0918133511868944</v>
      </c>
      <c r="O6" s="50">
        <v>2.2755675675675677</v>
      </c>
      <c r="P6" s="75">
        <f>SUM(C6:O6)</f>
        <v>14.258982940165822</v>
      </c>
      <c r="Q6" s="125"/>
      <c r="R6" s="125"/>
      <c r="S6" s="126"/>
      <c r="T6" s="127"/>
    </row>
    <row r="7" spans="1:20" ht="24" customHeight="1" thickBot="1">
      <c r="A7" s="14"/>
      <c r="B7" s="15" t="s">
        <v>23</v>
      </c>
      <c r="C7" s="16">
        <f aca="true" t="shared" si="0" ref="C7:O7">C6*$A4</f>
        <v>0.2403540932421884</v>
      </c>
      <c r="D7" s="16">
        <f t="shared" si="0"/>
        <v>0.3945641838351822</v>
      </c>
      <c r="E7" s="16">
        <f t="shared" si="0"/>
        <v>0.315356030384174</v>
      </c>
      <c r="F7" s="16">
        <f t="shared" si="0"/>
        <v>0.7517862192981052</v>
      </c>
      <c r="G7" s="16">
        <f t="shared" si="0"/>
        <v>0.48598344779010383</v>
      </c>
      <c r="H7" s="16">
        <f t="shared" si="0"/>
        <v>0.8139719913321904</v>
      </c>
      <c r="I7" s="16">
        <f t="shared" si="0"/>
        <v>0.9782634763529828</v>
      </c>
      <c r="J7" s="16">
        <f t="shared" si="0"/>
        <v>1.0790700690536519</v>
      </c>
      <c r="K7" s="16">
        <f t="shared" si="0"/>
        <v>1.3493084311754115</v>
      </c>
      <c r="L7" s="16">
        <f t="shared" si="0"/>
        <v>1.6326315789473684</v>
      </c>
      <c r="M7" s="16">
        <f t="shared" si="0"/>
        <v>1.8503125</v>
      </c>
      <c r="N7" s="16">
        <f t="shared" si="0"/>
        <v>2.0918133511868944</v>
      </c>
      <c r="O7" s="16">
        <f t="shared" si="0"/>
        <v>2.2755675675675677</v>
      </c>
      <c r="P7" s="4"/>
      <c r="Q7" s="126"/>
      <c r="R7" s="126"/>
      <c r="S7" s="126"/>
      <c r="T7" s="127"/>
    </row>
    <row r="8" spans="1:17" ht="27.75" customHeight="1" thickBot="1">
      <c r="A8" s="128" t="s">
        <v>72</v>
      </c>
      <c r="B8" s="129"/>
      <c r="C8" s="5">
        <f aca="true" t="shared" si="1" ref="C8:O8">C7/$O4*$H4</f>
        <v>5.493426331102016</v>
      </c>
      <c r="D8" s="5">
        <f t="shared" si="1"/>
        <v>9.017983623877441</v>
      </c>
      <c r="E8" s="5">
        <f t="shared" si="1"/>
        <v>7.207637272224954</v>
      </c>
      <c r="F8" s="5">
        <f t="shared" si="1"/>
        <v>17.182491701068912</v>
      </c>
      <c r="G8" s="5">
        <f t="shared" si="1"/>
        <v>11.107421690047149</v>
      </c>
      <c r="H8" s="5">
        <f t="shared" si="1"/>
        <v>18.603782068559063</v>
      </c>
      <c r="I8" s="5">
        <f t="shared" si="1"/>
        <v>22.358755231756504</v>
      </c>
      <c r="J8" s="5">
        <f t="shared" si="1"/>
        <v>24.662745911592907</v>
      </c>
      <c r="K8" s="5">
        <f t="shared" si="1"/>
        <v>30.839193810309126</v>
      </c>
      <c r="L8" s="5">
        <f t="shared" si="1"/>
        <v>37.31470175438596</v>
      </c>
      <c r="M8" s="5">
        <f t="shared" si="1"/>
        <v>42.28992013888888</v>
      </c>
      <c r="N8" s="5">
        <f t="shared" si="1"/>
        <v>47.8095562599049</v>
      </c>
      <c r="O8" s="6">
        <f t="shared" si="1"/>
        <v>52.00936096096096</v>
      </c>
      <c r="P8" s="72" t="s">
        <v>45</v>
      </c>
      <c r="Q8" s="3"/>
    </row>
    <row r="9" spans="1:16" ht="21" customHeight="1" thickBot="1">
      <c r="A9" s="19"/>
      <c r="B9" s="20" t="s">
        <v>73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75">
        <f>SUM(C9:O9)/H4*O4</f>
        <v>0</v>
      </c>
    </row>
    <row r="10" spans="1:15" ht="30.75" customHeight="1">
      <c r="A10" s="128" t="s">
        <v>18</v>
      </c>
      <c r="B10" s="129"/>
      <c r="C10" s="5">
        <f>C9-C8</f>
        <v>-5.493426331102016</v>
      </c>
      <c r="D10" s="5">
        <f aca="true" t="shared" si="2" ref="D10:O10">IF(C13="",D9-D8+C10,D9-D8+((C13-1)*$J4)/$M4*$H4)</f>
        <v>-14.511409954979458</v>
      </c>
      <c r="E10" s="5">
        <f t="shared" si="2"/>
        <v>-21.719047227204413</v>
      </c>
      <c r="F10" s="5">
        <f t="shared" si="2"/>
        <v>-38.901538928273325</v>
      </c>
      <c r="G10" s="5">
        <f t="shared" si="2"/>
        <v>-50.00896061832047</v>
      </c>
      <c r="H10" s="5">
        <f t="shared" si="2"/>
        <v>-68.61274268687953</v>
      </c>
      <c r="I10" s="5">
        <f t="shared" si="2"/>
        <v>-90.97149791863603</v>
      </c>
      <c r="J10" s="5">
        <f t="shared" si="2"/>
        <v>-115.63424383022894</v>
      </c>
      <c r="K10" s="5">
        <f t="shared" si="2"/>
        <v>-146.47343764053807</v>
      </c>
      <c r="L10" s="5">
        <f t="shared" si="2"/>
        <v>-183.78813939492403</v>
      </c>
      <c r="M10" s="5">
        <f t="shared" si="2"/>
        <v>-226.0780595338129</v>
      </c>
      <c r="N10" s="5">
        <f t="shared" si="2"/>
        <v>-273.8876157937178</v>
      </c>
      <c r="O10" s="5">
        <f t="shared" si="2"/>
        <v>-325.8969767546788</v>
      </c>
    </row>
    <row r="11" spans="1:16" ht="31.5" customHeight="1" thickBot="1">
      <c r="A11" s="128" t="s">
        <v>17</v>
      </c>
      <c r="B11" s="129"/>
      <c r="C11" s="7">
        <f aca="true" t="shared" si="3" ref="C11:O11">C10/$H4*$O4/$I4</f>
        <v>-0.600885233105471</v>
      </c>
      <c r="D11" s="7">
        <f t="shared" si="3"/>
        <v>-1.5872956926934267</v>
      </c>
      <c r="E11" s="7">
        <f t="shared" si="3"/>
        <v>-2.3756857686538617</v>
      </c>
      <c r="F11" s="7">
        <f t="shared" si="3"/>
        <v>-4.255151316899124</v>
      </c>
      <c r="G11" s="7">
        <f t="shared" si="3"/>
        <v>-5.470109936374384</v>
      </c>
      <c r="H11" s="7">
        <f t="shared" si="3"/>
        <v>-7.505039914704859</v>
      </c>
      <c r="I11" s="7">
        <f t="shared" si="3"/>
        <v>-9.950698605587316</v>
      </c>
      <c r="J11" s="7">
        <f t="shared" si="3"/>
        <v>-12.648373778221446</v>
      </c>
      <c r="K11" s="7">
        <f t="shared" si="3"/>
        <v>-16.021644856159973</v>
      </c>
      <c r="L11" s="7">
        <f t="shared" si="3"/>
        <v>-20.103223803528397</v>
      </c>
      <c r="M11" s="7">
        <f t="shared" si="3"/>
        <v>-24.729005053528397</v>
      </c>
      <c r="N11" s="7">
        <f t="shared" si="3"/>
        <v>-29.958538431495633</v>
      </c>
      <c r="O11" s="7">
        <f t="shared" si="3"/>
        <v>-35.647457350414555</v>
      </c>
      <c r="P11" s="2" t="s">
        <v>44</v>
      </c>
    </row>
    <row r="12" spans="1:16" s="12" customFormat="1" ht="31.5" customHeight="1" thickBot="1">
      <c r="A12" s="130" t="s">
        <v>16</v>
      </c>
      <c r="B12" s="131"/>
      <c r="C12" s="13">
        <f aca="true" t="shared" si="4" ref="C12:O12">($J4+C11)/$J4</f>
        <v>0.9229634316531448</v>
      </c>
      <c r="D12" s="13">
        <f t="shared" si="4"/>
        <v>0.7965005522187916</v>
      </c>
      <c r="E12" s="13">
        <f t="shared" si="4"/>
        <v>0.6954249014546331</v>
      </c>
      <c r="F12" s="13">
        <f t="shared" si="4"/>
        <v>0.45446777988472775</v>
      </c>
      <c r="G12" s="13">
        <f t="shared" si="4"/>
        <v>0.2987038543109765</v>
      </c>
      <c r="H12" s="13">
        <f t="shared" si="4"/>
        <v>0.03781539555065924</v>
      </c>
      <c r="I12" s="13">
        <f t="shared" si="4"/>
        <v>-0.2757305904599121</v>
      </c>
      <c r="J12" s="13">
        <f t="shared" si="4"/>
        <v>-0.621586381823262</v>
      </c>
      <c r="K12" s="13">
        <f t="shared" si="4"/>
        <v>-1.054057032841022</v>
      </c>
      <c r="L12" s="13">
        <f t="shared" si="4"/>
        <v>-1.5773363850677429</v>
      </c>
      <c r="M12" s="13">
        <f t="shared" si="4"/>
        <v>-2.1703852632728706</v>
      </c>
      <c r="N12" s="13">
        <f t="shared" si="4"/>
        <v>-2.8408382604481575</v>
      </c>
      <c r="O12" s="13">
        <f t="shared" si="4"/>
        <v>-3.570186839796737</v>
      </c>
      <c r="P12" s="76">
        <f>O11</f>
        <v>-35.647457350414555</v>
      </c>
    </row>
    <row r="13" spans="1:15" s="11" customFormat="1" ht="32.25" customHeight="1" thickBot="1">
      <c r="A13" s="132" t="s">
        <v>21</v>
      </c>
      <c r="B13" s="13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6" s="39" customFormat="1" ht="10.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1"/>
    </row>
    <row r="15" spans="1:15" ht="12.75" customHeight="1">
      <c r="A15" s="121" t="s">
        <v>55</v>
      </c>
      <c r="B15" s="12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s="31" customFormat="1" ht="15">
      <c r="A16" s="123"/>
      <c r="B16" s="123"/>
      <c r="C16" s="46">
        <v>36897</v>
      </c>
      <c r="D16" s="46">
        <v>36904</v>
      </c>
      <c r="E16" s="46">
        <v>36911</v>
      </c>
      <c r="F16" s="46">
        <v>36918</v>
      </c>
      <c r="G16" s="46">
        <v>36925</v>
      </c>
      <c r="H16" s="46">
        <v>36932</v>
      </c>
      <c r="I16" s="46">
        <v>36939</v>
      </c>
      <c r="J16" s="46">
        <v>36946</v>
      </c>
      <c r="K16" s="46">
        <v>36953</v>
      </c>
      <c r="L16" s="46">
        <v>36960</v>
      </c>
      <c r="M16" s="46">
        <v>36967</v>
      </c>
      <c r="N16" s="46">
        <v>36974</v>
      </c>
      <c r="O16" s="46">
        <v>36981</v>
      </c>
    </row>
    <row r="17" spans="1:16" ht="14.25">
      <c r="A17" s="51"/>
      <c r="B17" s="52" t="s">
        <v>24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>
        <v>0.14625207206222562</v>
      </c>
      <c r="O17" s="50">
        <v>0.14376384640269949</v>
      </c>
      <c r="P17" s="31"/>
    </row>
    <row r="18" spans="1:16" ht="14.25">
      <c r="A18" s="51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31"/>
    </row>
    <row r="19" spans="1:15" s="31" customFormat="1" ht="15">
      <c r="A19" s="55"/>
      <c r="B19" s="52"/>
      <c r="C19" s="46">
        <v>36988</v>
      </c>
      <c r="D19" s="46">
        <v>36995</v>
      </c>
      <c r="E19" s="46">
        <v>37002</v>
      </c>
      <c r="F19" s="46">
        <v>37009</v>
      </c>
      <c r="G19" s="46">
        <v>37016</v>
      </c>
      <c r="H19" s="46">
        <v>37023</v>
      </c>
      <c r="I19" s="46">
        <v>37030</v>
      </c>
      <c r="J19" s="46">
        <v>37037</v>
      </c>
      <c r="K19" s="46">
        <v>37044</v>
      </c>
      <c r="L19" s="46">
        <v>37051</v>
      </c>
      <c r="M19" s="46">
        <v>37058</v>
      </c>
      <c r="N19" s="46">
        <v>37065</v>
      </c>
      <c r="O19" s="46">
        <v>37072</v>
      </c>
    </row>
    <row r="20" spans="1:16" ht="14.25">
      <c r="A20" s="51"/>
      <c r="B20" s="52" t="s">
        <v>25</v>
      </c>
      <c r="C20" s="50">
        <v>0.2403540932421884</v>
      </c>
      <c r="D20" s="50">
        <v>0.3945641838351822</v>
      </c>
      <c r="E20" s="50">
        <v>0.315356030384174</v>
      </c>
      <c r="F20" s="50">
        <v>0.7517862192981052</v>
      </c>
      <c r="G20" s="50">
        <v>0.48598344779010383</v>
      </c>
      <c r="H20" s="50">
        <v>0.8139719913321904</v>
      </c>
      <c r="I20" s="50">
        <v>0.9782634763529828</v>
      </c>
      <c r="J20" s="50">
        <v>1.0790700690536519</v>
      </c>
      <c r="K20" s="50">
        <v>1.3493084311754115</v>
      </c>
      <c r="L20" s="50">
        <v>1.6326315789473684</v>
      </c>
      <c r="M20" s="50">
        <v>1.8503125</v>
      </c>
      <c r="N20" s="50">
        <v>2.0918133511868944</v>
      </c>
      <c r="O20" s="50">
        <v>2.2755675675675677</v>
      </c>
      <c r="P20" s="31"/>
    </row>
    <row r="21" spans="1:16" ht="14.25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31"/>
    </row>
    <row r="22" spans="1:15" s="31" customFormat="1" ht="15">
      <c r="A22" s="55"/>
      <c r="B22" s="52"/>
      <c r="C22" s="46">
        <v>37079</v>
      </c>
      <c r="D22" s="46">
        <v>37086</v>
      </c>
      <c r="E22" s="46">
        <v>37093</v>
      </c>
      <c r="F22" s="46">
        <v>37100</v>
      </c>
      <c r="G22" s="46">
        <v>37107</v>
      </c>
      <c r="H22" s="46">
        <v>37114</v>
      </c>
      <c r="I22" s="46">
        <v>37121</v>
      </c>
      <c r="J22" s="46">
        <v>37128</v>
      </c>
      <c r="K22" s="46">
        <v>37135</v>
      </c>
      <c r="L22" s="46">
        <v>37142</v>
      </c>
      <c r="M22" s="46">
        <v>37149</v>
      </c>
      <c r="N22" s="46">
        <v>37156</v>
      </c>
      <c r="O22" s="46">
        <v>37163</v>
      </c>
    </row>
    <row r="23" spans="1:16" ht="14.25">
      <c r="A23" s="51"/>
      <c r="B23" s="52" t="s">
        <v>26</v>
      </c>
      <c r="C23" s="50">
        <v>2.4068449197860957</v>
      </c>
      <c r="D23" s="50">
        <v>2.496264947413917</v>
      </c>
      <c r="E23" s="50">
        <v>2.5165760869565217</v>
      </c>
      <c r="F23" s="50">
        <v>2.5129762282091916</v>
      </c>
      <c r="G23" s="50">
        <v>2.467058823529412</v>
      </c>
      <c r="H23" s="50">
        <v>2.4151633341874095</v>
      </c>
      <c r="I23" s="50">
        <v>2.3472612129902144</v>
      </c>
      <c r="J23" s="50">
        <v>2.252666351081565</v>
      </c>
      <c r="K23" s="50">
        <v>2.1653474589149644</v>
      </c>
      <c r="L23" s="50">
        <v>2.051381803182598</v>
      </c>
      <c r="M23" s="50">
        <v>1.9554886423666138</v>
      </c>
      <c r="N23" s="50">
        <v>1.82702588483888</v>
      </c>
      <c r="O23" s="50">
        <v>1.6700158478605387</v>
      </c>
      <c r="P23" s="31"/>
    </row>
    <row r="24" spans="1:16" ht="14.25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1"/>
    </row>
    <row r="25" spans="1:15" s="31" customFormat="1" ht="15">
      <c r="A25" s="55"/>
      <c r="B25" s="52"/>
      <c r="C25" s="46">
        <v>37170</v>
      </c>
      <c r="D25" s="46">
        <v>37177</v>
      </c>
      <c r="E25" s="46">
        <v>37184</v>
      </c>
      <c r="F25" s="46">
        <v>37191</v>
      </c>
      <c r="G25" s="46">
        <v>37198</v>
      </c>
      <c r="H25" s="46">
        <v>37205</v>
      </c>
      <c r="I25" s="46">
        <v>37212</v>
      </c>
      <c r="J25" s="46">
        <v>37219</v>
      </c>
      <c r="K25" s="46">
        <v>37226</v>
      </c>
      <c r="L25" s="46">
        <v>37233</v>
      </c>
      <c r="M25" s="46">
        <v>37240</v>
      </c>
      <c r="N25" s="46">
        <v>37247</v>
      </c>
      <c r="O25" s="46">
        <v>37254</v>
      </c>
    </row>
    <row r="26" spans="1:16" ht="14.25">
      <c r="A26" s="51"/>
      <c r="B26" s="52" t="s">
        <v>27</v>
      </c>
      <c r="C26" s="50">
        <v>1.5394150139245761</v>
      </c>
      <c r="D26" s="50">
        <v>1.3968765867093378</v>
      </c>
      <c r="E26" s="50">
        <v>1.2543381594940992</v>
      </c>
      <c r="F26" s="50">
        <v>1.0869489933673768</v>
      </c>
      <c r="G26" s="50">
        <v>0.3364500792393027</v>
      </c>
      <c r="H26" s="50">
        <v>0.28547279450607504</v>
      </c>
      <c r="I26" s="50">
        <v>0.23959323824617007</v>
      </c>
      <c r="J26" s="50">
        <v>0.2</v>
      </c>
      <c r="K26" s="50"/>
      <c r="L26" s="50"/>
      <c r="M26" s="50"/>
      <c r="N26" s="50"/>
      <c r="O26" s="50"/>
      <c r="P26" s="31"/>
    </row>
    <row r="27" ht="12.75">
      <c r="P27" s="31"/>
    </row>
    <row r="28" ht="12.75">
      <c r="P28" s="31"/>
    </row>
  </sheetData>
  <sheetProtection/>
  <mergeCells count="7">
    <mergeCell ref="Q5:T7"/>
    <mergeCell ref="A15:B16"/>
    <mergeCell ref="A13:B13"/>
    <mergeCell ref="A12:B12"/>
    <mergeCell ref="A11:B11"/>
    <mergeCell ref="A8:B8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A8" sqref="A8:B9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8.140625" style="0" customWidth="1"/>
    <col min="8" max="8" width="8.421875" style="0" customWidth="1"/>
    <col min="9" max="10" width="7.7109375" style="0" customWidth="1"/>
    <col min="11" max="11" width="6.7109375" style="0" customWidth="1"/>
    <col min="12" max="12" width="7.00390625" style="0" customWidth="1"/>
    <col min="13" max="15" width="7.7109375" style="0" customWidth="1"/>
    <col min="16" max="16" width="12.8515625" style="0" customWidth="1"/>
  </cols>
  <sheetData>
    <row r="1" spans="1:26" ht="19.5" customHeight="1" thickBot="1">
      <c r="A1" s="32" t="s">
        <v>69</v>
      </c>
      <c r="J1" s="40" t="s">
        <v>70</v>
      </c>
      <c r="U1" s="81" t="s">
        <v>57</v>
      </c>
      <c r="V1" s="82" t="s">
        <v>58</v>
      </c>
      <c r="W1" s="12"/>
      <c r="X1" s="12"/>
      <c r="Y1" s="12"/>
      <c r="Z1" s="12"/>
    </row>
    <row r="2" spans="21:26" ht="12.75" customHeight="1" thickBot="1">
      <c r="U2" s="83">
        <v>36897</v>
      </c>
      <c r="V2" s="84">
        <v>0.21410459587955624</v>
      </c>
      <c r="W2" s="12"/>
      <c r="X2" s="12"/>
      <c r="Y2" s="12"/>
      <c r="Z2" s="12"/>
    </row>
    <row r="3" spans="1:26" s="1" customFormat="1" ht="48.75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19</v>
      </c>
      <c r="G3" s="8" t="s">
        <v>14</v>
      </c>
      <c r="H3" s="8" t="s">
        <v>4</v>
      </c>
      <c r="I3" s="8" t="s">
        <v>5</v>
      </c>
      <c r="J3" s="9" t="s">
        <v>8</v>
      </c>
      <c r="K3" s="8" t="s">
        <v>12</v>
      </c>
      <c r="L3" s="8" t="s">
        <v>20</v>
      </c>
      <c r="M3" s="8" t="s">
        <v>9</v>
      </c>
      <c r="N3" s="8" t="s">
        <v>10</v>
      </c>
      <c r="O3" s="10" t="s">
        <v>11</v>
      </c>
      <c r="U3" s="83">
        <f aca="true" t="shared" si="0" ref="U3:U53">U2+7</f>
        <v>36904</v>
      </c>
      <c r="V3" s="85">
        <v>0.27527733755942946</v>
      </c>
      <c r="W3" s="12"/>
      <c r="X3" s="12"/>
      <c r="Y3" s="12"/>
      <c r="Z3" s="12"/>
    </row>
    <row r="4" spans="1:26" s="2" customFormat="1" ht="56.25" customHeight="1" thickBot="1" thickTop="1">
      <c r="A4" s="23">
        <v>1</v>
      </c>
      <c r="B4" s="24" t="s">
        <v>41</v>
      </c>
      <c r="C4" s="25">
        <v>2.2</v>
      </c>
      <c r="D4" s="25">
        <v>0.9</v>
      </c>
      <c r="E4" s="26">
        <v>6</v>
      </c>
      <c r="F4" s="26" t="s">
        <v>39</v>
      </c>
      <c r="G4" s="26" t="s">
        <v>40</v>
      </c>
      <c r="H4" s="27">
        <v>24</v>
      </c>
      <c r="I4" s="28">
        <v>0.4</v>
      </c>
      <c r="J4" s="41">
        <f>(C4-D4)*E4</f>
        <v>7.800000000000002</v>
      </c>
      <c r="K4" s="27">
        <v>77</v>
      </c>
      <c r="L4" s="27">
        <v>2.1</v>
      </c>
      <c r="M4" s="42">
        <f>L4*H4/7.48/K4/I4*12</f>
        <v>2.6251823043266893</v>
      </c>
      <c r="N4" s="29">
        <v>3</v>
      </c>
      <c r="O4" s="43">
        <f>L4*H4/7.48/K4*12</f>
        <v>1.050072921730676</v>
      </c>
      <c r="P4" s="78" t="s">
        <v>48</v>
      </c>
      <c r="U4" s="83">
        <f t="shared" si="0"/>
        <v>36911</v>
      </c>
      <c r="V4" s="85">
        <v>0.2956682514527205</v>
      </c>
      <c r="W4" s="12"/>
      <c r="X4" s="12"/>
      <c r="Y4" s="12"/>
      <c r="Z4" s="12"/>
    </row>
    <row r="5" spans="1:26" ht="23.25" customHeight="1" thickBot="1">
      <c r="A5" s="44"/>
      <c r="B5" s="45" t="s">
        <v>15</v>
      </c>
      <c r="C5" s="46">
        <v>36988</v>
      </c>
      <c r="D5" s="46">
        <v>36995</v>
      </c>
      <c r="E5" s="46">
        <v>37002</v>
      </c>
      <c r="F5" s="46">
        <v>37009</v>
      </c>
      <c r="G5" s="46">
        <v>37016</v>
      </c>
      <c r="H5" s="46">
        <v>37023</v>
      </c>
      <c r="I5" s="46">
        <v>37030</v>
      </c>
      <c r="J5" s="46">
        <v>37037</v>
      </c>
      <c r="K5" s="46">
        <v>37044</v>
      </c>
      <c r="L5" s="46">
        <v>37051</v>
      </c>
      <c r="M5" s="46">
        <v>37058</v>
      </c>
      <c r="N5" s="46">
        <v>37065</v>
      </c>
      <c r="O5" s="46">
        <v>37072</v>
      </c>
      <c r="P5" s="71" t="s">
        <v>47</v>
      </c>
      <c r="Q5" s="124" t="s">
        <v>56</v>
      </c>
      <c r="R5" s="125"/>
      <c r="S5" s="126"/>
      <c r="T5" s="127"/>
      <c r="U5" s="83">
        <f t="shared" si="0"/>
        <v>36918</v>
      </c>
      <c r="V5" s="85">
        <v>0.3568409931325937</v>
      </c>
      <c r="W5" s="12"/>
      <c r="X5" s="12"/>
      <c r="Y5" s="12"/>
      <c r="Z5" s="12"/>
    </row>
    <row r="6" spans="1:26" ht="20.25" customHeight="1" thickBot="1">
      <c r="A6" s="47"/>
      <c r="B6" s="48" t="s">
        <v>38</v>
      </c>
      <c r="C6" s="50">
        <v>0.19384112519809826</v>
      </c>
      <c r="D6" s="50">
        <v>0.2959231378763867</v>
      </c>
      <c r="E6" s="50">
        <v>0.5627892234548336</v>
      </c>
      <c r="F6" s="50">
        <v>0.7442683571051241</v>
      </c>
      <c r="G6" s="50">
        <v>0.9145324881141045</v>
      </c>
      <c r="H6" s="50">
        <v>1.0386621764395139</v>
      </c>
      <c r="I6" s="50">
        <v>1.1699286846275754</v>
      </c>
      <c r="J6" s="50">
        <v>1.2712460380348654</v>
      </c>
      <c r="K6" s="50">
        <v>0.9226888536714211</v>
      </c>
      <c r="L6" s="50">
        <v>0.94</v>
      </c>
      <c r="M6" s="50">
        <v>0.955</v>
      </c>
      <c r="N6" s="50">
        <v>0.9634706814580031</v>
      </c>
      <c r="O6" s="50">
        <v>0.97</v>
      </c>
      <c r="P6" s="75">
        <f>SUM(C6:O6)</f>
        <v>10.942350765979928</v>
      </c>
      <c r="Q6" s="125"/>
      <c r="R6" s="125"/>
      <c r="S6" s="126"/>
      <c r="T6" s="127"/>
      <c r="U6" s="83">
        <f t="shared" si="0"/>
        <v>36925</v>
      </c>
      <c r="V6" s="85">
        <v>0.41801373481246695</v>
      </c>
      <c r="W6" s="12"/>
      <c r="X6" s="12"/>
      <c r="Y6" s="12"/>
      <c r="Z6" s="12"/>
    </row>
    <row r="7" spans="1:26" ht="24" customHeight="1" thickBot="1">
      <c r="A7" s="14"/>
      <c r="B7" s="15" t="s">
        <v>23</v>
      </c>
      <c r="C7" s="16">
        <f aca="true" t="shared" si="1" ref="C7:O7">C6*$A4</f>
        <v>0.19384112519809826</v>
      </c>
      <c r="D7" s="16">
        <f t="shared" si="1"/>
        <v>0.2959231378763867</v>
      </c>
      <c r="E7" s="16">
        <f t="shared" si="1"/>
        <v>0.5627892234548336</v>
      </c>
      <c r="F7" s="16">
        <f t="shared" si="1"/>
        <v>0.7442683571051241</v>
      </c>
      <c r="G7" s="16">
        <f t="shared" si="1"/>
        <v>0.9145324881141045</v>
      </c>
      <c r="H7" s="16">
        <f t="shared" si="1"/>
        <v>1.0386621764395139</v>
      </c>
      <c r="I7" s="16">
        <f t="shared" si="1"/>
        <v>1.1699286846275754</v>
      </c>
      <c r="J7" s="16">
        <f t="shared" si="1"/>
        <v>1.2712460380348654</v>
      </c>
      <c r="K7" s="16">
        <f t="shared" si="1"/>
        <v>0.9226888536714211</v>
      </c>
      <c r="L7" s="16">
        <f t="shared" si="1"/>
        <v>0.94</v>
      </c>
      <c r="M7" s="16">
        <f t="shared" si="1"/>
        <v>0.955</v>
      </c>
      <c r="N7" s="16">
        <f t="shared" si="1"/>
        <v>0.9634706814580031</v>
      </c>
      <c r="O7" s="16">
        <f t="shared" si="1"/>
        <v>0.97</v>
      </c>
      <c r="P7" s="4"/>
      <c r="Q7" s="126"/>
      <c r="R7" s="126"/>
      <c r="S7" s="126"/>
      <c r="T7" s="127"/>
      <c r="U7" s="83">
        <f t="shared" si="0"/>
        <v>36932</v>
      </c>
      <c r="V7" s="85">
        <v>0.46899101954569467</v>
      </c>
      <c r="W7" s="12"/>
      <c r="X7" s="12"/>
      <c r="Y7" s="12"/>
      <c r="Z7" s="12"/>
    </row>
    <row r="8" spans="1:26" ht="27.75" customHeight="1" thickBot="1">
      <c r="A8" s="128" t="s">
        <v>72</v>
      </c>
      <c r="B8" s="129"/>
      <c r="C8" s="5">
        <f aca="true" t="shared" si="2" ref="C8:O8">C7/$O4*$H4</f>
        <v>4.430346605916535</v>
      </c>
      <c r="D8" s="5">
        <f t="shared" si="2"/>
        <v>6.763487717908081</v>
      </c>
      <c r="E8" s="5">
        <f t="shared" si="2"/>
        <v>12.862860362739916</v>
      </c>
      <c r="F8" s="5">
        <f t="shared" si="2"/>
        <v>17.01066678405822</v>
      </c>
      <c r="G8" s="5">
        <f t="shared" si="2"/>
        <v>20.90214808945236</v>
      </c>
      <c r="H8" s="5">
        <f t="shared" si="2"/>
        <v>23.739201077067552</v>
      </c>
      <c r="I8" s="5">
        <f t="shared" si="2"/>
        <v>26.73937004754358</v>
      </c>
      <c r="J8" s="5">
        <f t="shared" si="2"/>
        <v>29.055034447085752</v>
      </c>
      <c r="K8" s="5">
        <f t="shared" si="2"/>
        <v>21.08856635557903</v>
      </c>
      <c r="L8" s="5">
        <f t="shared" si="2"/>
        <v>21.48422222222222</v>
      </c>
      <c r="M8" s="5">
        <f t="shared" si="2"/>
        <v>21.827055555555553</v>
      </c>
      <c r="N8" s="5">
        <f t="shared" si="2"/>
        <v>22.020657686212356</v>
      </c>
      <c r="O8" s="6">
        <f t="shared" si="2"/>
        <v>22.169888888888885</v>
      </c>
      <c r="P8" s="72" t="s">
        <v>45</v>
      </c>
      <c r="Q8" s="3"/>
      <c r="U8" s="83">
        <f t="shared" si="0"/>
        <v>36939</v>
      </c>
      <c r="V8" s="85">
        <v>0.5403592181722134</v>
      </c>
      <c r="W8" s="12"/>
      <c r="X8" s="12"/>
      <c r="Y8" s="12"/>
      <c r="Z8" s="12"/>
    </row>
    <row r="9" spans="1:26" ht="21" customHeight="1" thickBot="1">
      <c r="A9" s="19"/>
      <c r="B9" s="20" t="s">
        <v>73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75">
        <f>SUM(C9:O9)/H4*O4</f>
        <v>0</v>
      </c>
      <c r="U9" s="83">
        <f t="shared" si="0"/>
        <v>36946</v>
      </c>
      <c r="V9" s="85">
        <v>0.6117274167987321</v>
      </c>
      <c r="W9" s="12"/>
      <c r="X9" s="12"/>
      <c r="Y9" s="12"/>
      <c r="Z9" s="12"/>
    </row>
    <row r="10" spans="1:26" ht="30.75" customHeight="1" thickBot="1">
      <c r="A10" s="128" t="s">
        <v>18</v>
      </c>
      <c r="B10" s="129"/>
      <c r="C10" s="5">
        <f>C9-C8</f>
        <v>-4.430346605916535</v>
      </c>
      <c r="D10" s="5">
        <f aca="true" t="shared" si="3" ref="D10:O10">IF(C13="",D9-D8+C10,D9-D8+((C13-1)*$J4)/$M4*$H4)</f>
        <v>-11.193834323824616</v>
      </c>
      <c r="E10" s="5">
        <f t="shared" si="3"/>
        <v>-24.056694686564533</v>
      </c>
      <c r="F10" s="5">
        <f t="shared" si="3"/>
        <v>-41.06736147062276</v>
      </c>
      <c r="G10" s="5">
        <f t="shared" si="3"/>
        <v>-61.96950956007512</v>
      </c>
      <c r="H10" s="5">
        <f t="shared" si="3"/>
        <v>-85.70871063714267</v>
      </c>
      <c r="I10" s="5">
        <f t="shared" si="3"/>
        <v>-112.44808068468626</v>
      </c>
      <c r="J10" s="5">
        <f t="shared" si="3"/>
        <v>-141.503115131772</v>
      </c>
      <c r="K10" s="5">
        <f t="shared" si="3"/>
        <v>-162.59168148735102</v>
      </c>
      <c r="L10" s="5">
        <f t="shared" si="3"/>
        <v>-184.07590370957325</v>
      </c>
      <c r="M10" s="5">
        <f t="shared" si="3"/>
        <v>-205.9029592651288</v>
      </c>
      <c r="N10" s="5">
        <f t="shared" si="3"/>
        <v>-227.92361695134116</v>
      </c>
      <c r="O10" s="5">
        <f t="shared" si="3"/>
        <v>-250.09350584023005</v>
      </c>
      <c r="U10" s="83">
        <f t="shared" si="0"/>
        <v>36953</v>
      </c>
      <c r="V10" s="85">
        <v>0.6932910723718965</v>
      </c>
      <c r="W10" s="12"/>
      <c r="X10" s="12"/>
      <c r="Y10" s="12"/>
      <c r="Z10" s="12"/>
    </row>
    <row r="11" spans="1:26" ht="31.5" customHeight="1" thickBot="1">
      <c r="A11" s="128" t="s">
        <v>17</v>
      </c>
      <c r="B11" s="129"/>
      <c r="C11" s="7">
        <f aca="true" t="shared" si="4" ref="C11:O11">C10/$H4*$O4/$I4</f>
        <v>-0.48460281299524577</v>
      </c>
      <c r="D11" s="7">
        <f t="shared" si="4"/>
        <v>-1.2244106576862124</v>
      </c>
      <c r="E11" s="7">
        <f t="shared" si="4"/>
        <v>-2.6313837163232967</v>
      </c>
      <c r="F11" s="7">
        <f t="shared" si="4"/>
        <v>-4.492054609086106</v>
      </c>
      <c r="G11" s="7">
        <f t="shared" si="4"/>
        <v>-6.778385829371367</v>
      </c>
      <c r="H11" s="7">
        <f t="shared" si="4"/>
        <v>-9.375041270470152</v>
      </c>
      <c r="I11" s="7">
        <f t="shared" si="4"/>
        <v>-12.299862982039091</v>
      </c>
      <c r="J11" s="7">
        <f t="shared" si="4"/>
        <v>-15.477978077126254</v>
      </c>
      <c r="K11" s="7">
        <f t="shared" si="4"/>
        <v>-17.784700211304802</v>
      </c>
      <c r="L11" s="7">
        <f t="shared" si="4"/>
        <v>-20.134700211304807</v>
      </c>
      <c r="M11" s="7">
        <f t="shared" si="4"/>
        <v>-22.522200211304806</v>
      </c>
      <c r="N11" s="7">
        <f t="shared" si="4"/>
        <v>-24.930876914949817</v>
      </c>
      <c r="O11" s="7">
        <f t="shared" si="4"/>
        <v>-27.355876914949814</v>
      </c>
      <c r="P11" s="2" t="s">
        <v>44</v>
      </c>
      <c r="U11" s="83">
        <f t="shared" si="0"/>
        <v>36960</v>
      </c>
      <c r="V11" s="85">
        <v>0.7850501848917063</v>
      </c>
      <c r="W11" s="86" t="s">
        <v>59</v>
      </c>
      <c r="X11" s="86" t="s">
        <v>60</v>
      </c>
      <c r="Y11" s="86" t="s">
        <v>61</v>
      </c>
      <c r="Z11" s="87" t="s">
        <v>61</v>
      </c>
    </row>
    <row r="12" spans="1:26" s="12" customFormat="1" ht="31.5" customHeight="1" thickBot="1">
      <c r="A12" s="130" t="s">
        <v>16</v>
      </c>
      <c r="B12" s="131"/>
      <c r="C12" s="13">
        <f aca="true" t="shared" si="5" ref="C12:O12">($J4+C11)/$J4</f>
        <v>0.9378714342313788</v>
      </c>
      <c r="D12" s="13">
        <f t="shared" si="5"/>
        <v>0.8430242746556138</v>
      </c>
      <c r="E12" s="13">
        <f t="shared" si="5"/>
        <v>0.6626431132918852</v>
      </c>
      <c r="F12" s="13">
        <f t="shared" si="5"/>
        <v>0.4240955629376788</v>
      </c>
      <c r="G12" s="13">
        <f t="shared" si="5"/>
        <v>0.13097617572161976</v>
      </c>
      <c r="H12" s="13">
        <f t="shared" si="5"/>
        <v>-0.20192836800899366</v>
      </c>
      <c r="I12" s="13">
        <f t="shared" si="5"/>
        <v>-0.5769055105178319</v>
      </c>
      <c r="J12" s="13">
        <f t="shared" si="5"/>
        <v>-0.9843561637341347</v>
      </c>
      <c r="K12" s="13">
        <f t="shared" si="5"/>
        <v>-1.2800897706801024</v>
      </c>
      <c r="L12" s="13">
        <f t="shared" si="5"/>
        <v>-1.5813718219621544</v>
      </c>
      <c r="M12" s="13">
        <f t="shared" si="5"/>
        <v>-1.8874615655518978</v>
      </c>
      <c r="N12" s="13">
        <f t="shared" si="5"/>
        <v>-2.1962662711474117</v>
      </c>
      <c r="O12" s="13">
        <f t="shared" si="5"/>
        <v>-2.5071637070448474</v>
      </c>
      <c r="P12" s="76">
        <f>O11</f>
        <v>-27.355876914949814</v>
      </c>
      <c r="U12" s="83">
        <f t="shared" si="0"/>
        <v>36967</v>
      </c>
      <c r="V12" s="85">
        <v>0.87</v>
      </c>
      <c r="W12" s="88" t="s">
        <v>62</v>
      </c>
      <c r="X12" s="88" t="s">
        <v>63</v>
      </c>
      <c r="Y12" s="88" t="s">
        <v>64</v>
      </c>
      <c r="Z12" s="89" t="s">
        <v>65</v>
      </c>
    </row>
    <row r="13" spans="1:26" s="11" customFormat="1" ht="32.25" customHeight="1" thickBot="1">
      <c r="A13" s="132" t="s">
        <v>21</v>
      </c>
      <c r="B13" s="13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U13" s="83">
        <f t="shared" si="0"/>
        <v>36974</v>
      </c>
      <c r="V13" s="85">
        <v>0.9787638668779715</v>
      </c>
      <c r="W13" s="90">
        <v>0.125</v>
      </c>
      <c r="X13" s="90">
        <f aca="true" t="shared" si="6" ref="X13:X48">W13*$V13</f>
        <v>0.12234548335974643</v>
      </c>
      <c r="Y13" s="91">
        <f>X13*77/12*7.48</f>
        <v>5.872175382989964</v>
      </c>
      <c r="Z13" s="92">
        <f aca="true" t="shared" si="7" ref="Z13:Z48">Y13/0.85</f>
        <v>6.908441627047016</v>
      </c>
    </row>
    <row r="14" spans="1:26" s="39" customFormat="1" ht="10.5" customHeight="1" thickBot="1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1"/>
      <c r="U14" s="83">
        <f t="shared" si="0"/>
        <v>36981</v>
      </c>
      <c r="V14" s="85">
        <v>1.0909138932910725</v>
      </c>
      <c r="W14" s="90">
        <v>0.1375</v>
      </c>
      <c r="X14" s="90">
        <f t="shared" si="6"/>
        <v>0.1500006603275225</v>
      </c>
      <c r="Y14" s="91">
        <f aca="true" t="shared" si="8" ref="Y14:Y48">X14*77/12*7.48</f>
        <v>7.1995316935199885</v>
      </c>
      <c r="Z14" s="92">
        <f t="shared" si="7"/>
        <v>8.470037286494104</v>
      </c>
    </row>
    <row r="15" spans="1:26" ht="12.75" customHeight="1">
      <c r="A15" s="121" t="s">
        <v>55</v>
      </c>
      <c r="B15" s="122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U15" s="83">
        <f t="shared" si="0"/>
        <v>36988</v>
      </c>
      <c r="V15" s="85">
        <v>1.1928684627575277</v>
      </c>
      <c r="W15" s="90">
        <v>0.1625</v>
      </c>
      <c r="X15" s="90">
        <f t="shared" si="6"/>
        <v>0.19384112519809826</v>
      </c>
      <c r="Y15" s="91">
        <f t="shared" si="8"/>
        <v>9.303727872424725</v>
      </c>
      <c r="Z15" s="92">
        <f t="shared" si="7"/>
        <v>10.945562202852617</v>
      </c>
    </row>
    <row r="16" spans="1:26" s="31" customFormat="1" ht="15">
      <c r="A16" s="123"/>
      <c r="B16" s="123"/>
      <c r="C16" s="46">
        <v>36897</v>
      </c>
      <c r="D16" s="46">
        <v>36904</v>
      </c>
      <c r="E16" s="46">
        <v>36911</v>
      </c>
      <c r="F16" s="46">
        <v>36918</v>
      </c>
      <c r="G16" s="46">
        <v>36925</v>
      </c>
      <c r="H16" s="46">
        <v>36932</v>
      </c>
      <c r="I16" s="46">
        <v>36939</v>
      </c>
      <c r="J16" s="46">
        <v>36946</v>
      </c>
      <c r="K16" s="46">
        <v>36953</v>
      </c>
      <c r="L16" s="46">
        <v>36960</v>
      </c>
      <c r="M16" s="46">
        <v>36967</v>
      </c>
      <c r="N16" s="46">
        <v>36974</v>
      </c>
      <c r="O16" s="46">
        <v>36981</v>
      </c>
      <c r="U16" s="83">
        <f t="shared" si="0"/>
        <v>36995</v>
      </c>
      <c r="V16" s="85">
        <v>1.315213946117274</v>
      </c>
      <c r="W16" s="90">
        <v>0.225</v>
      </c>
      <c r="X16" s="90">
        <f t="shared" si="6"/>
        <v>0.2959231378763867</v>
      </c>
      <c r="Y16" s="91">
        <f t="shared" si="8"/>
        <v>14.203324207606974</v>
      </c>
      <c r="Z16" s="92">
        <f t="shared" si="7"/>
        <v>16.70979318541997</v>
      </c>
    </row>
    <row r="17" spans="1:26" ht="14.25">
      <c r="A17" s="51"/>
      <c r="B17" s="52" t="s">
        <v>24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>
        <v>0.12</v>
      </c>
      <c r="O17" s="50">
        <v>0.15</v>
      </c>
      <c r="P17" s="31"/>
      <c r="U17" s="83">
        <f t="shared" si="0"/>
        <v>37002</v>
      </c>
      <c r="V17" s="85">
        <v>1.4069730586370839</v>
      </c>
      <c r="W17" s="90">
        <v>0.4</v>
      </c>
      <c r="X17" s="90">
        <f t="shared" si="6"/>
        <v>0.5627892234548336</v>
      </c>
      <c r="Y17" s="91">
        <f t="shared" si="8"/>
        <v>27.012006761753835</v>
      </c>
      <c r="Z17" s="92">
        <f t="shared" si="7"/>
        <v>31.778831484416276</v>
      </c>
    </row>
    <row r="18" spans="1:26" ht="14.25">
      <c r="A18" s="51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31"/>
      <c r="U18" s="83">
        <f t="shared" si="0"/>
        <v>37009</v>
      </c>
      <c r="V18" s="85">
        <v>1.4885367142102481</v>
      </c>
      <c r="W18" s="90">
        <v>0.5</v>
      </c>
      <c r="X18" s="90">
        <f t="shared" si="6"/>
        <v>0.7442683571051241</v>
      </c>
      <c r="Y18" s="91">
        <f t="shared" si="8"/>
        <v>35.72240024652228</v>
      </c>
      <c r="Z18" s="92">
        <f t="shared" si="7"/>
        <v>42.02635323120268</v>
      </c>
    </row>
    <row r="19" spans="1:26" s="31" customFormat="1" ht="15">
      <c r="A19" s="55"/>
      <c r="B19" s="52"/>
      <c r="C19" s="46">
        <v>36988</v>
      </c>
      <c r="D19" s="46">
        <v>36995</v>
      </c>
      <c r="E19" s="46">
        <v>37002</v>
      </c>
      <c r="F19" s="46">
        <v>37009</v>
      </c>
      <c r="G19" s="46">
        <v>37016</v>
      </c>
      <c r="H19" s="46">
        <v>37023</v>
      </c>
      <c r="I19" s="46">
        <v>37030</v>
      </c>
      <c r="J19" s="46">
        <v>37037</v>
      </c>
      <c r="K19" s="46">
        <v>37044</v>
      </c>
      <c r="L19" s="46">
        <v>37051</v>
      </c>
      <c r="M19" s="46">
        <v>37058</v>
      </c>
      <c r="N19" s="46">
        <v>37065</v>
      </c>
      <c r="O19" s="46">
        <v>37072</v>
      </c>
      <c r="U19" s="83">
        <f t="shared" si="0"/>
        <v>37016</v>
      </c>
      <c r="V19" s="85">
        <v>1.5904912836767036</v>
      </c>
      <c r="W19" s="90">
        <v>0.575</v>
      </c>
      <c r="X19" s="90">
        <f t="shared" si="6"/>
        <v>0.9145324881141045</v>
      </c>
      <c r="Y19" s="91">
        <f t="shared" si="8"/>
        <v>43.89451098784997</v>
      </c>
      <c r="Z19" s="92">
        <f t="shared" si="7"/>
        <v>51.64060116217644</v>
      </c>
    </row>
    <row r="20" spans="1:26" ht="14.25">
      <c r="A20" s="51"/>
      <c r="B20" s="52" t="s">
        <v>25</v>
      </c>
      <c r="C20" s="50">
        <v>0.19384112519809826</v>
      </c>
      <c r="D20" s="50">
        <v>0.2959231378763867</v>
      </c>
      <c r="E20" s="50">
        <v>0.5627892234548336</v>
      </c>
      <c r="F20" s="50">
        <v>0.7442683571051241</v>
      </c>
      <c r="G20" s="50">
        <v>0.9145324881141045</v>
      </c>
      <c r="H20" s="50">
        <v>1.0386621764395139</v>
      </c>
      <c r="I20" s="50">
        <v>1.1699286846275754</v>
      </c>
      <c r="J20" s="50">
        <v>1.2712460380348654</v>
      </c>
      <c r="K20" s="50">
        <v>0.9226888536714211</v>
      </c>
      <c r="L20" s="50">
        <v>0.94</v>
      </c>
      <c r="M20" s="50">
        <v>0.955</v>
      </c>
      <c r="N20" s="50">
        <v>0.9634706814580031</v>
      </c>
      <c r="O20" s="50">
        <v>0.97</v>
      </c>
      <c r="P20" s="31"/>
      <c r="U20" s="83">
        <f t="shared" si="0"/>
        <v>37023</v>
      </c>
      <c r="V20" s="85">
        <v>1.6618594823032222</v>
      </c>
      <c r="W20" s="90">
        <v>0.625</v>
      </c>
      <c r="X20" s="90">
        <f t="shared" si="6"/>
        <v>1.0386621764395139</v>
      </c>
      <c r="Y20" s="91">
        <f t="shared" si="8"/>
        <v>49.85232226184186</v>
      </c>
      <c r="Z20" s="92">
        <f t="shared" si="7"/>
        <v>58.64979089628454</v>
      </c>
    </row>
    <row r="21" spans="1:26" ht="14.25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31"/>
      <c r="U21" s="83">
        <f t="shared" si="0"/>
        <v>37030</v>
      </c>
      <c r="V21" s="85">
        <v>1.733227680929741</v>
      </c>
      <c r="W21" s="90">
        <v>0.675</v>
      </c>
      <c r="X21" s="90">
        <f t="shared" si="6"/>
        <v>1.1699286846275754</v>
      </c>
      <c r="Y21" s="91">
        <f t="shared" si="8"/>
        <v>56.152677099841526</v>
      </c>
      <c r="Z21" s="92">
        <f t="shared" si="7"/>
        <v>66.0619730586371</v>
      </c>
    </row>
    <row r="22" spans="1:26" s="31" customFormat="1" ht="15">
      <c r="A22" s="55"/>
      <c r="B22" s="52"/>
      <c r="C22" s="46">
        <v>37079</v>
      </c>
      <c r="D22" s="46">
        <v>37086</v>
      </c>
      <c r="E22" s="46">
        <v>37093</v>
      </c>
      <c r="F22" s="46">
        <v>37100</v>
      </c>
      <c r="G22" s="46">
        <v>37107</v>
      </c>
      <c r="H22" s="46">
        <v>37114</v>
      </c>
      <c r="I22" s="46">
        <v>37121</v>
      </c>
      <c r="J22" s="46">
        <v>37128</v>
      </c>
      <c r="K22" s="46">
        <v>37135</v>
      </c>
      <c r="L22" s="46">
        <v>37142</v>
      </c>
      <c r="M22" s="46">
        <v>37149</v>
      </c>
      <c r="N22" s="46">
        <v>37156</v>
      </c>
      <c r="O22" s="46">
        <v>37163</v>
      </c>
      <c r="U22" s="83">
        <f t="shared" si="0"/>
        <v>37037</v>
      </c>
      <c r="V22" s="85">
        <v>1.7842049656629688</v>
      </c>
      <c r="W22" s="90">
        <v>0.7125</v>
      </c>
      <c r="X22" s="90">
        <f t="shared" si="6"/>
        <v>1.2712460380348654</v>
      </c>
      <c r="Y22" s="91">
        <f t="shared" si="8"/>
        <v>61.0155723388801</v>
      </c>
      <c r="Z22" s="92">
        <f t="shared" si="7"/>
        <v>71.7830262810354</v>
      </c>
    </row>
    <row r="23" spans="1:26" ht="14.25">
      <c r="A23" s="51"/>
      <c r="B23" s="52" t="s">
        <v>26</v>
      </c>
      <c r="C23" s="50">
        <v>0.97</v>
      </c>
      <c r="D23" s="50">
        <v>0.9634706814580031</v>
      </c>
      <c r="E23" s="50">
        <v>0.945</v>
      </c>
      <c r="F23" s="50">
        <v>0.9277865821447437</v>
      </c>
      <c r="G23" s="50">
        <v>0.9</v>
      </c>
      <c r="H23" s="50">
        <v>0.876809297411516</v>
      </c>
      <c r="I23" s="50">
        <v>0.8462229265715794</v>
      </c>
      <c r="J23" s="50">
        <v>0.8105388272583202</v>
      </c>
      <c r="K23" s="50">
        <v>0.7748547279450607</v>
      </c>
      <c r="L23" s="50">
        <v>0.7340729001584786</v>
      </c>
      <c r="M23" s="50">
        <v>0.6983888008452193</v>
      </c>
      <c r="N23" s="50">
        <v>0.6525092445853143</v>
      </c>
      <c r="O23" s="50">
        <v>0.5964342313787638</v>
      </c>
      <c r="P23" s="31"/>
      <c r="U23" s="83">
        <f t="shared" si="0"/>
        <v>37044</v>
      </c>
      <c r="V23" s="85">
        <v>1.8453777073428421</v>
      </c>
      <c r="W23" s="90">
        <v>0.5</v>
      </c>
      <c r="X23" s="90">
        <f t="shared" si="6"/>
        <v>0.9226888536714211</v>
      </c>
      <c r="Y23" s="91">
        <f t="shared" si="8"/>
        <v>44.28598934671598</v>
      </c>
      <c r="Z23" s="92">
        <f t="shared" si="7"/>
        <v>52.10116393731292</v>
      </c>
    </row>
    <row r="24" spans="1:26" ht="14.25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1"/>
      <c r="U24" s="83">
        <f t="shared" si="0"/>
        <v>37051</v>
      </c>
      <c r="V24" s="85">
        <v>1.88</v>
      </c>
      <c r="W24" s="90">
        <v>0.5</v>
      </c>
      <c r="X24" s="90">
        <f t="shared" si="6"/>
        <v>0.94</v>
      </c>
      <c r="Y24" s="91">
        <f t="shared" si="8"/>
        <v>45.11686666666667</v>
      </c>
      <c r="Z24" s="92">
        <f t="shared" si="7"/>
        <v>53.07866666666667</v>
      </c>
    </row>
    <row r="25" spans="1:26" s="31" customFormat="1" ht="15">
      <c r="A25" s="55"/>
      <c r="B25" s="52"/>
      <c r="C25" s="46">
        <v>37170</v>
      </c>
      <c r="D25" s="46">
        <v>37177</v>
      </c>
      <c r="E25" s="46">
        <v>37184</v>
      </c>
      <c r="F25" s="46">
        <v>37191</v>
      </c>
      <c r="G25" s="46">
        <v>37198</v>
      </c>
      <c r="H25" s="46">
        <v>37205</v>
      </c>
      <c r="I25" s="46">
        <v>37212</v>
      </c>
      <c r="J25" s="46">
        <v>37219</v>
      </c>
      <c r="K25" s="46">
        <v>37226</v>
      </c>
      <c r="L25" s="46">
        <v>37233</v>
      </c>
      <c r="M25" s="46">
        <v>37240</v>
      </c>
      <c r="N25" s="46">
        <v>37247</v>
      </c>
      <c r="O25" s="46">
        <v>37254</v>
      </c>
      <c r="U25" s="83">
        <f t="shared" si="0"/>
        <v>37058</v>
      </c>
      <c r="V25" s="85">
        <v>1.91</v>
      </c>
      <c r="W25" s="90">
        <v>0.5</v>
      </c>
      <c r="X25" s="90">
        <f t="shared" si="6"/>
        <v>0.955</v>
      </c>
      <c r="Y25" s="91">
        <f t="shared" si="8"/>
        <v>45.83681666666667</v>
      </c>
      <c r="Z25" s="92">
        <f t="shared" si="7"/>
        <v>53.92566666666667</v>
      </c>
    </row>
    <row r="26" spans="1:26" ht="14.25">
      <c r="A26" s="51"/>
      <c r="B26" s="52" t="s">
        <v>27</v>
      </c>
      <c r="C26" s="50">
        <v>0.27527733755942946</v>
      </c>
      <c r="D26" s="50">
        <v>0.24978869519281563</v>
      </c>
      <c r="E26" s="50">
        <v>0.2243000528262018</v>
      </c>
      <c r="F26" s="50">
        <v>0.19371368198626518</v>
      </c>
      <c r="G26" s="50">
        <v>0.16822503961965135</v>
      </c>
      <c r="H26" s="50">
        <v>0.14273639725303752</v>
      </c>
      <c r="I26" s="50">
        <v>0.11979661912308504</v>
      </c>
      <c r="J26" s="50">
        <v>0.1</v>
      </c>
      <c r="K26" s="50"/>
      <c r="L26" s="50"/>
      <c r="M26" s="50"/>
      <c r="N26" s="50"/>
      <c r="O26" s="50"/>
      <c r="P26" s="31"/>
      <c r="U26" s="83">
        <f t="shared" si="0"/>
        <v>37065</v>
      </c>
      <c r="V26" s="85">
        <v>1.9269413629160062</v>
      </c>
      <c r="W26" s="90">
        <v>0.5</v>
      </c>
      <c r="X26" s="90">
        <f t="shared" si="6"/>
        <v>0.9634706814580031</v>
      </c>
      <c r="Y26" s="91">
        <f t="shared" si="8"/>
        <v>46.24338114104595</v>
      </c>
      <c r="Z26" s="92">
        <f t="shared" si="7"/>
        <v>54.40397781299524</v>
      </c>
    </row>
    <row r="27" spans="16:26" ht="12.75">
      <c r="P27" s="31"/>
      <c r="U27" s="83">
        <f t="shared" si="0"/>
        <v>37072</v>
      </c>
      <c r="V27" s="85">
        <v>1.94</v>
      </c>
      <c r="W27" s="90">
        <v>0.5</v>
      </c>
      <c r="X27" s="90">
        <f t="shared" si="6"/>
        <v>0.97</v>
      </c>
      <c r="Y27" s="91">
        <f t="shared" si="8"/>
        <v>46.55676666666667</v>
      </c>
      <c r="Z27" s="92">
        <f t="shared" si="7"/>
        <v>54.77266666666667</v>
      </c>
    </row>
    <row r="28" spans="16:26" ht="12.75">
      <c r="P28" s="31"/>
      <c r="U28" s="83">
        <f t="shared" si="0"/>
        <v>37079</v>
      </c>
      <c r="V28" s="85">
        <v>1.94</v>
      </c>
      <c r="W28" s="90">
        <v>0.5</v>
      </c>
      <c r="X28" s="90">
        <f t="shared" si="6"/>
        <v>0.97</v>
      </c>
      <c r="Y28" s="91">
        <f t="shared" si="8"/>
        <v>46.55676666666667</v>
      </c>
      <c r="Z28" s="92">
        <f t="shared" si="7"/>
        <v>54.77266666666667</v>
      </c>
    </row>
    <row r="29" spans="21:26" ht="12.75">
      <c r="U29" s="83">
        <f t="shared" si="0"/>
        <v>37086</v>
      </c>
      <c r="V29" s="85">
        <v>1.9269413629160062</v>
      </c>
      <c r="W29" s="90">
        <v>0.5</v>
      </c>
      <c r="X29" s="90">
        <f t="shared" si="6"/>
        <v>0.9634706814580031</v>
      </c>
      <c r="Y29" s="91">
        <f t="shared" si="8"/>
        <v>46.24338114104595</v>
      </c>
      <c r="Z29" s="92">
        <f t="shared" si="7"/>
        <v>54.40397781299524</v>
      </c>
    </row>
    <row r="30" spans="21:26" ht="12.75">
      <c r="U30" s="83">
        <f t="shared" si="0"/>
        <v>37093</v>
      </c>
      <c r="V30" s="85">
        <v>1.89</v>
      </c>
      <c r="W30" s="90">
        <v>0.5</v>
      </c>
      <c r="X30" s="90">
        <f t="shared" si="6"/>
        <v>0.945</v>
      </c>
      <c r="Y30" s="91">
        <f t="shared" si="8"/>
        <v>45.35685</v>
      </c>
      <c r="Z30" s="92">
        <f t="shared" si="7"/>
        <v>53.361000000000004</v>
      </c>
    </row>
    <row r="31" spans="21:26" ht="12.75">
      <c r="U31" s="83">
        <f t="shared" si="0"/>
        <v>37100</v>
      </c>
      <c r="V31" s="85">
        <v>1.8555731642894875</v>
      </c>
      <c r="W31" s="90">
        <v>0.5</v>
      </c>
      <c r="X31" s="90">
        <f t="shared" si="6"/>
        <v>0.9277865821447437</v>
      </c>
      <c r="Y31" s="91">
        <f t="shared" si="8"/>
        <v>44.53066332100722</v>
      </c>
      <c r="Z31" s="92">
        <f t="shared" si="7"/>
        <v>52.3890156717732</v>
      </c>
    </row>
    <row r="32" spans="21:26" ht="12.75">
      <c r="U32" s="83">
        <f t="shared" si="0"/>
        <v>37107</v>
      </c>
      <c r="V32" s="85">
        <v>1.8</v>
      </c>
      <c r="W32" s="90">
        <v>0.5</v>
      </c>
      <c r="X32" s="90">
        <f t="shared" si="6"/>
        <v>0.9</v>
      </c>
      <c r="Y32" s="91">
        <f t="shared" si="8"/>
        <v>43.196999999999996</v>
      </c>
      <c r="Z32" s="92">
        <f t="shared" si="7"/>
        <v>50.81999999999999</v>
      </c>
    </row>
    <row r="33" spans="21:26" ht="12.75">
      <c r="U33" s="83">
        <f t="shared" si="0"/>
        <v>37114</v>
      </c>
      <c r="V33" s="85">
        <v>1.753618594823032</v>
      </c>
      <c r="W33" s="90">
        <v>0.5</v>
      </c>
      <c r="X33" s="90">
        <f t="shared" si="6"/>
        <v>0.876809297411516</v>
      </c>
      <c r="Y33" s="91">
        <f t="shared" si="8"/>
        <v>42.08392357809473</v>
      </c>
      <c r="Z33" s="92">
        <f t="shared" si="7"/>
        <v>49.510498327170275</v>
      </c>
    </row>
    <row r="34" spans="21:26" ht="12.75">
      <c r="U34" s="83">
        <f t="shared" si="0"/>
        <v>37121</v>
      </c>
      <c r="V34" s="85">
        <v>1.6924458531431588</v>
      </c>
      <c r="W34" s="90">
        <v>0.5</v>
      </c>
      <c r="X34" s="90">
        <f t="shared" si="6"/>
        <v>0.8462229265715794</v>
      </c>
      <c r="Y34" s="91">
        <f t="shared" si="8"/>
        <v>40.615879732347246</v>
      </c>
      <c r="Z34" s="92">
        <f t="shared" si="7"/>
        <v>47.78338792040852</v>
      </c>
    </row>
    <row r="35" spans="21:26" ht="12.75">
      <c r="U35" s="83">
        <f t="shared" si="0"/>
        <v>37128</v>
      </c>
      <c r="V35" s="85">
        <v>1.6210776545166403</v>
      </c>
      <c r="W35" s="90">
        <v>0.5</v>
      </c>
      <c r="X35" s="90">
        <f t="shared" si="6"/>
        <v>0.8105388272583202</v>
      </c>
      <c r="Y35" s="91">
        <f t="shared" si="8"/>
        <v>38.90316191230851</v>
      </c>
      <c r="Z35" s="92">
        <f t="shared" si="7"/>
        <v>45.76842577918649</v>
      </c>
    </row>
    <row r="36" spans="21:26" ht="12.75">
      <c r="U36" s="83">
        <f t="shared" si="0"/>
        <v>37135</v>
      </c>
      <c r="V36" s="85">
        <v>1.5497094558901214</v>
      </c>
      <c r="W36" s="90">
        <v>0.5</v>
      </c>
      <c r="X36" s="90">
        <f t="shared" si="6"/>
        <v>0.7748547279450607</v>
      </c>
      <c r="Y36" s="91">
        <f t="shared" si="8"/>
        <v>37.190444092269765</v>
      </c>
      <c r="Z36" s="92">
        <f t="shared" si="7"/>
        <v>43.75346363796443</v>
      </c>
    </row>
    <row r="37" spans="21:26" ht="12.75">
      <c r="U37" s="83">
        <f t="shared" si="0"/>
        <v>37142</v>
      </c>
      <c r="V37" s="85">
        <v>1.4681458003169572</v>
      </c>
      <c r="W37" s="90">
        <v>0.5</v>
      </c>
      <c r="X37" s="90">
        <f t="shared" si="6"/>
        <v>0.7340729001584786</v>
      </c>
      <c r="Y37" s="91">
        <f t="shared" si="8"/>
        <v>35.23305229793978</v>
      </c>
      <c r="Z37" s="92">
        <f t="shared" si="7"/>
        <v>41.45064976228209</v>
      </c>
    </row>
    <row r="38" spans="21:26" ht="12.75">
      <c r="U38" s="83">
        <f t="shared" si="0"/>
        <v>37149</v>
      </c>
      <c r="V38" s="85">
        <v>1.3967776016904385</v>
      </c>
      <c r="W38" s="90">
        <v>0.5</v>
      </c>
      <c r="X38" s="90">
        <f t="shared" si="6"/>
        <v>0.6983888008452193</v>
      </c>
      <c r="Y38" s="91">
        <f t="shared" si="8"/>
        <v>33.52033447790104</v>
      </c>
      <c r="Z38" s="92">
        <f t="shared" si="7"/>
        <v>39.43568762106005</v>
      </c>
    </row>
    <row r="39" spans="21:26" ht="12.75">
      <c r="U39" s="83">
        <f t="shared" si="0"/>
        <v>37156</v>
      </c>
      <c r="V39" s="85">
        <v>1.3050184891706287</v>
      </c>
      <c r="W39" s="90">
        <v>0.5</v>
      </c>
      <c r="X39" s="90">
        <f t="shared" si="6"/>
        <v>0.6525092445853143</v>
      </c>
      <c r="Y39" s="91">
        <f t="shared" si="8"/>
        <v>31.318268709279803</v>
      </c>
      <c r="Z39" s="92">
        <f t="shared" si="7"/>
        <v>36.84502201091742</v>
      </c>
    </row>
    <row r="40" spans="21:26" ht="12.75">
      <c r="U40" s="83">
        <f t="shared" si="0"/>
        <v>37163</v>
      </c>
      <c r="V40" s="85">
        <v>1.1928684627575277</v>
      </c>
      <c r="W40" s="90">
        <v>0.5</v>
      </c>
      <c r="X40" s="90">
        <f t="shared" si="6"/>
        <v>0.5964342313787638</v>
      </c>
      <c r="Y40" s="91">
        <f t="shared" si="8"/>
        <v>28.62685499207607</v>
      </c>
      <c r="Z40" s="92">
        <f t="shared" si="7"/>
        <v>33.6786529318542</v>
      </c>
    </row>
    <row r="41" spans="21:26" ht="12.75">
      <c r="U41" s="83">
        <f t="shared" si="0"/>
        <v>37170</v>
      </c>
      <c r="V41" s="85">
        <v>1.1011093502377178</v>
      </c>
      <c r="W41" s="90">
        <v>0.25</v>
      </c>
      <c r="X41" s="90">
        <f t="shared" si="6"/>
        <v>0.27527733755942946</v>
      </c>
      <c r="Y41" s="91">
        <f t="shared" si="8"/>
        <v>13.212394611727417</v>
      </c>
      <c r="Z41" s="92">
        <f t="shared" si="7"/>
        <v>15.543993660855785</v>
      </c>
    </row>
    <row r="42" spans="21:26" ht="12.75">
      <c r="U42" s="83">
        <f t="shared" si="0"/>
        <v>37177</v>
      </c>
      <c r="V42" s="85">
        <v>0.9991547807712625</v>
      </c>
      <c r="W42" s="90">
        <v>0.25</v>
      </c>
      <c r="X42" s="90">
        <f t="shared" si="6"/>
        <v>0.24978869519281563</v>
      </c>
      <c r="Y42" s="91">
        <f t="shared" si="8"/>
        <v>11.989024740271176</v>
      </c>
      <c r="Z42" s="92">
        <f t="shared" si="7"/>
        <v>14.104734988554325</v>
      </c>
    </row>
    <row r="43" spans="21:26" ht="12.75">
      <c r="U43" s="83">
        <f t="shared" si="0"/>
        <v>37184</v>
      </c>
      <c r="V43" s="85">
        <v>0.8972002113048072</v>
      </c>
      <c r="W43" s="90">
        <v>0.25</v>
      </c>
      <c r="X43" s="90">
        <f t="shared" si="6"/>
        <v>0.2243000528262018</v>
      </c>
      <c r="Y43" s="91">
        <f t="shared" si="8"/>
        <v>10.765654868814932</v>
      </c>
      <c r="Z43" s="92">
        <f t="shared" si="7"/>
        <v>12.665476316252862</v>
      </c>
    </row>
    <row r="44" spans="21:26" ht="12.75">
      <c r="U44" s="83">
        <f t="shared" si="0"/>
        <v>37191</v>
      </c>
      <c r="V44" s="85">
        <v>0.7748547279450607</v>
      </c>
      <c r="W44" s="90">
        <v>0.25</v>
      </c>
      <c r="X44" s="90">
        <f t="shared" si="6"/>
        <v>0.19371368198626518</v>
      </c>
      <c r="Y44" s="91">
        <f t="shared" si="8"/>
        <v>9.297611023067441</v>
      </c>
      <c r="Z44" s="92">
        <f t="shared" si="7"/>
        <v>10.938365909491107</v>
      </c>
    </row>
    <row r="45" spans="21:26" ht="12.75">
      <c r="U45" s="83">
        <f t="shared" si="0"/>
        <v>37198</v>
      </c>
      <c r="V45" s="85">
        <v>0.6729001584786054</v>
      </c>
      <c r="W45" s="90">
        <v>0.25</v>
      </c>
      <c r="X45" s="90">
        <f t="shared" si="6"/>
        <v>0.16822503961965135</v>
      </c>
      <c r="Y45" s="91">
        <f t="shared" si="8"/>
        <v>8.0742411516112</v>
      </c>
      <c r="Z45" s="92">
        <f t="shared" si="7"/>
        <v>9.499107237189648</v>
      </c>
    </row>
    <row r="46" spans="21:26" ht="12.75">
      <c r="U46" s="83">
        <f t="shared" si="0"/>
        <v>37205</v>
      </c>
      <c r="V46" s="85">
        <v>0.5709455890121501</v>
      </c>
      <c r="W46" s="90">
        <v>0.25</v>
      </c>
      <c r="X46" s="90">
        <f t="shared" si="6"/>
        <v>0.14273639725303752</v>
      </c>
      <c r="Y46" s="91">
        <f t="shared" si="8"/>
        <v>6.8508712801549585</v>
      </c>
      <c r="Z46" s="92">
        <f t="shared" si="7"/>
        <v>8.059848564888187</v>
      </c>
    </row>
    <row r="47" spans="21:26" ht="12.75">
      <c r="U47" s="83">
        <f t="shared" si="0"/>
        <v>37212</v>
      </c>
      <c r="V47" s="85">
        <v>0.47918647649234014</v>
      </c>
      <c r="W47" s="90">
        <v>0.25</v>
      </c>
      <c r="X47" s="90">
        <f t="shared" si="6"/>
        <v>0.11979661912308504</v>
      </c>
      <c r="Y47" s="91">
        <f t="shared" si="8"/>
        <v>5.749838395844339</v>
      </c>
      <c r="Z47" s="92">
        <f t="shared" si="7"/>
        <v>6.764515759816869</v>
      </c>
    </row>
    <row r="48" spans="21:26" ht="12.75">
      <c r="U48" s="83">
        <f t="shared" si="0"/>
        <v>37219</v>
      </c>
      <c r="V48" s="85">
        <v>0.4</v>
      </c>
      <c r="W48" s="90">
        <v>0.25</v>
      </c>
      <c r="X48" s="90">
        <f t="shared" si="6"/>
        <v>0.1</v>
      </c>
      <c r="Y48" s="91">
        <f t="shared" si="8"/>
        <v>4.799666666666667</v>
      </c>
      <c r="Z48" s="92">
        <f t="shared" si="7"/>
        <v>5.646666666666667</v>
      </c>
    </row>
    <row r="49" spans="21:26" ht="12.75">
      <c r="U49" s="83">
        <f t="shared" si="0"/>
        <v>37226</v>
      </c>
      <c r="V49" s="85">
        <v>0.34</v>
      </c>
      <c r="W49" s="90"/>
      <c r="X49" s="90"/>
      <c r="Y49" s="90"/>
      <c r="Z49" s="85"/>
    </row>
    <row r="50" spans="21:26" ht="12.75">
      <c r="U50" s="83">
        <f t="shared" si="0"/>
        <v>37233</v>
      </c>
      <c r="V50" s="85">
        <v>0.29</v>
      </c>
      <c r="W50" s="90"/>
      <c r="X50" s="90"/>
      <c r="Y50" s="90"/>
      <c r="Z50" s="85"/>
    </row>
    <row r="51" spans="21:26" ht="13.5" thickBot="1">
      <c r="U51" s="83">
        <f t="shared" si="0"/>
        <v>37240</v>
      </c>
      <c r="V51" s="85">
        <v>0.26</v>
      </c>
      <c r="W51" s="90"/>
      <c r="X51" s="90"/>
      <c r="Y51" s="90"/>
      <c r="Z51" s="85"/>
    </row>
    <row r="52" spans="21:26" ht="12.75">
      <c r="U52" s="83">
        <f t="shared" si="0"/>
        <v>37247</v>
      </c>
      <c r="V52" s="85">
        <v>0.23</v>
      </c>
      <c r="W52" s="90"/>
      <c r="X52" s="134" t="s">
        <v>66</v>
      </c>
      <c r="Y52" s="135"/>
      <c r="Z52" s="136"/>
    </row>
    <row r="53" spans="21:26" ht="12.75">
      <c r="U53" s="83">
        <f t="shared" si="0"/>
        <v>37254</v>
      </c>
      <c r="V53" s="93">
        <v>0.21410459587955624</v>
      </c>
      <c r="W53" s="94"/>
      <c r="X53" s="95" t="s">
        <v>63</v>
      </c>
      <c r="Y53" s="96" t="s">
        <v>67</v>
      </c>
      <c r="Z53" s="97" t="s">
        <v>67</v>
      </c>
    </row>
    <row r="54" spans="21:26" ht="13.5" thickBot="1">
      <c r="U54" s="98" t="s">
        <v>68</v>
      </c>
      <c r="V54" s="99">
        <f>SUM(V2:V53)</f>
        <v>57.89632857897516</v>
      </c>
      <c r="W54" s="100" t="s">
        <v>63</v>
      </c>
      <c r="X54" s="101">
        <f>SUM(X2:X53)</f>
        <v>23.38462295298469</v>
      </c>
      <c r="Y54" s="102">
        <f>SUM(Y2:Y53)</f>
        <v>1122.3839530000882</v>
      </c>
      <c r="Z54" s="103">
        <f>Y54/0.85</f>
        <v>1320.4517094118685</v>
      </c>
    </row>
  </sheetData>
  <sheetProtection/>
  <mergeCells count="8">
    <mergeCell ref="A15:B16"/>
    <mergeCell ref="X52:Z52"/>
    <mergeCell ref="Q5:T7"/>
    <mergeCell ref="A8:B8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selection activeCell="Z4" sqref="Z4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8.140625" style="0" customWidth="1"/>
    <col min="8" max="8" width="8.421875" style="0" customWidth="1"/>
    <col min="9" max="10" width="7.7109375" style="0" customWidth="1"/>
    <col min="11" max="11" width="6.7109375" style="0" customWidth="1"/>
    <col min="12" max="12" width="7.00390625" style="0" customWidth="1"/>
    <col min="13" max="15" width="7.7109375" style="0" customWidth="1"/>
    <col min="16" max="16" width="12.8515625" style="0" customWidth="1"/>
    <col min="21" max="21" width="4.7109375" style="0" customWidth="1"/>
  </cols>
  <sheetData>
    <row r="1" spans="1:8" ht="19.5" customHeight="1" thickBot="1">
      <c r="A1" s="117" t="s">
        <v>74</v>
      </c>
      <c r="B1" s="119" t="s">
        <v>77</v>
      </c>
      <c r="C1" s="118"/>
      <c r="F1" s="77" t="s">
        <v>32</v>
      </c>
      <c r="H1" s="40" t="s">
        <v>46</v>
      </c>
    </row>
    <row r="2" ht="5.25" customHeight="1" thickBot="1"/>
    <row r="3" spans="1:15" s="1" customFormat="1" ht="48.75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19</v>
      </c>
      <c r="G3" s="8" t="s">
        <v>14</v>
      </c>
      <c r="H3" s="8" t="s">
        <v>4</v>
      </c>
      <c r="I3" s="8" t="s">
        <v>5</v>
      </c>
      <c r="J3" s="9" t="s">
        <v>8</v>
      </c>
      <c r="K3" s="8" t="s">
        <v>12</v>
      </c>
      <c r="L3" s="8" t="s">
        <v>20</v>
      </c>
      <c r="M3" s="8" t="s">
        <v>9</v>
      </c>
      <c r="N3" s="8" t="s">
        <v>10</v>
      </c>
      <c r="O3" s="10" t="s">
        <v>11</v>
      </c>
    </row>
    <row r="4" spans="1:16" s="2" customFormat="1" ht="56.25" customHeight="1" thickBot="1" thickTop="1">
      <c r="A4" s="23">
        <v>1</v>
      </c>
      <c r="B4" s="24" t="s">
        <v>13</v>
      </c>
      <c r="C4" s="25">
        <v>2.6</v>
      </c>
      <c r="D4" s="25">
        <v>0.9</v>
      </c>
      <c r="E4" s="26">
        <v>6</v>
      </c>
      <c r="F4" s="26" t="s">
        <v>71</v>
      </c>
      <c r="G4" s="26" t="s">
        <v>37</v>
      </c>
      <c r="H4" s="27">
        <v>24</v>
      </c>
      <c r="I4" s="28">
        <v>0.35</v>
      </c>
      <c r="J4" s="41">
        <f>(C4-D4)*E4</f>
        <v>10.200000000000001</v>
      </c>
      <c r="K4" s="27">
        <v>340</v>
      </c>
      <c r="L4" s="27">
        <v>4</v>
      </c>
      <c r="M4" s="42">
        <f>L4*H4/7.48/K4/I4*12</f>
        <v>1.294207522581225</v>
      </c>
      <c r="N4" s="29">
        <v>1</v>
      </c>
      <c r="O4" s="43">
        <f>L4*H4/7.48/K4*12</f>
        <v>0.4529726329034287</v>
      </c>
      <c r="P4" s="78" t="s">
        <v>48</v>
      </c>
    </row>
    <row r="5" spans="1:20" ht="23.25" customHeight="1" thickBot="1">
      <c r="A5" s="44"/>
      <c r="B5" s="45" t="s">
        <v>15</v>
      </c>
      <c r="C5" s="46">
        <v>36988</v>
      </c>
      <c r="D5" s="46">
        <v>36995</v>
      </c>
      <c r="E5" s="46">
        <v>37002</v>
      </c>
      <c r="F5" s="46">
        <v>37009</v>
      </c>
      <c r="G5" s="46">
        <v>37016</v>
      </c>
      <c r="H5" s="46">
        <v>37023</v>
      </c>
      <c r="I5" s="46">
        <v>37030</v>
      </c>
      <c r="J5" s="46">
        <v>37037</v>
      </c>
      <c r="K5" s="46">
        <v>37044</v>
      </c>
      <c r="L5" s="46">
        <v>37051</v>
      </c>
      <c r="M5" s="46">
        <v>37058</v>
      </c>
      <c r="N5" s="46">
        <v>37065</v>
      </c>
      <c r="O5" s="46">
        <v>37072</v>
      </c>
      <c r="P5" s="71" t="s">
        <v>47</v>
      </c>
      <c r="Q5" s="124" t="s">
        <v>56</v>
      </c>
      <c r="R5" s="125"/>
      <c r="S5" s="126"/>
      <c r="T5" s="127"/>
    </row>
    <row r="6" spans="1:20" ht="20.25" customHeight="1" thickBot="1">
      <c r="A6" s="115"/>
      <c r="B6" s="116" t="s">
        <v>38</v>
      </c>
      <c r="C6" s="111">
        <v>0.08350079239302695</v>
      </c>
      <c r="D6" s="111">
        <v>0.2630427892234548</v>
      </c>
      <c r="E6" s="111">
        <v>0.42209191759112513</v>
      </c>
      <c r="F6" s="111">
        <v>0.7442683571051241</v>
      </c>
      <c r="G6" s="111">
        <v>0.954294770206022</v>
      </c>
      <c r="H6" s="111">
        <v>1.1633016376122556</v>
      </c>
      <c r="I6" s="111">
        <v>1.386582144743793</v>
      </c>
      <c r="J6" s="111">
        <v>1.605784469096672</v>
      </c>
      <c r="K6" s="111">
        <v>1.8453777073428421</v>
      </c>
      <c r="L6" s="111">
        <v>2.0040190174326464</v>
      </c>
      <c r="M6" s="111">
        <v>2.18080824088748</v>
      </c>
      <c r="N6" s="111">
        <v>2.254521394611727</v>
      </c>
      <c r="O6" s="111">
        <v>2.254521394611727</v>
      </c>
      <c r="P6" s="120">
        <f>SUM(C6:O6)</f>
        <v>17.162114632857897</v>
      </c>
      <c r="Q6" s="125"/>
      <c r="R6" s="125"/>
      <c r="S6" s="126"/>
      <c r="T6" s="127"/>
    </row>
    <row r="7" spans="1:20" ht="24" customHeight="1" thickBot="1">
      <c r="A7" s="14"/>
      <c r="B7" s="15" t="s">
        <v>23</v>
      </c>
      <c r="C7" s="16">
        <f aca="true" t="shared" si="0" ref="C7:O7">C6*$A4</f>
        <v>0.08350079239302695</v>
      </c>
      <c r="D7" s="16">
        <f t="shared" si="0"/>
        <v>0.2630427892234548</v>
      </c>
      <c r="E7" s="16">
        <f t="shared" si="0"/>
        <v>0.42209191759112513</v>
      </c>
      <c r="F7" s="16">
        <f t="shared" si="0"/>
        <v>0.7442683571051241</v>
      </c>
      <c r="G7" s="16">
        <f t="shared" si="0"/>
        <v>0.954294770206022</v>
      </c>
      <c r="H7" s="16">
        <f t="shared" si="0"/>
        <v>1.1633016376122556</v>
      </c>
      <c r="I7" s="16">
        <f t="shared" si="0"/>
        <v>1.386582144743793</v>
      </c>
      <c r="J7" s="16">
        <f t="shared" si="0"/>
        <v>1.605784469096672</v>
      </c>
      <c r="K7" s="16">
        <f t="shared" si="0"/>
        <v>1.8453777073428421</v>
      </c>
      <c r="L7" s="16">
        <f t="shared" si="0"/>
        <v>2.0040190174326464</v>
      </c>
      <c r="M7" s="16">
        <f t="shared" si="0"/>
        <v>2.18080824088748</v>
      </c>
      <c r="N7" s="16">
        <f t="shared" si="0"/>
        <v>2.254521394611727</v>
      </c>
      <c r="O7" s="16">
        <f t="shared" si="0"/>
        <v>2.254521394611727</v>
      </c>
      <c r="P7" s="114">
        <f>SUM(C7:O7)</f>
        <v>17.162114632857897</v>
      </c>
      <c r="Q7" s="126"/>
      <c r="R7" s="126"/>
      <c r="S7" s="126"/>
      <c r="T7" s="127"/>
    </row>
    <row r="8" spans="1:24" ht="27.75" customHeight="1" thickBot="1">
      <c r="A8" s="128" t="s">
        <v>72</v>
      </c>
      <c r="B8" s="129"/>
      <c r="C8" s="5">
        <f aca="true" t="shared" si="1" ref="C8:O8">C7/$O4*$H4</f>
        <v>4.424150316957212</v>
      </c>
      <c r="D8" s="5">
        <f t="shared" si="1"/>
        <v>13.936883782356048</v>
      </c>
      <c r="E8" s="5">
        <f t="shared" si="1"/>
        <v>22.363836767036446</v>
      </c>
      <c r="F8" s="5">
        <f t="shared" si="1"/>
        <v>39.433818453953165</v>
      </c>
      <c r="G8" s="5">
        <f t="shared" si="1"/>
        <v>50.56171790808241</v>
      </c>
      <c r="H8" s="5">
        <f t="shared" si="1"/>
        <v>61.63559843282268</v>
      </c>
      <c r="I8" s="5">
        <f t="shared" si="1"/>
        <v>73.46574396900864</v>
      </c>
      <c r="J8" s="5">
        <f t="shared" si="1"/>
        <v>85.07981378763868</v>
      </c>
      <c r="K8" s="5">
        <f t="shared" si="1"/>
        <v>97.77426219404828</v>
      </c>
      <c r="L8" s="5">
        <f t="shared" si="1"/>
        <v>106.17960760697306</v>
      </c>
      <c r="M8" s="5">
        <f t="shared" si="1"/>
        <v>115.54648996302166</v>
      </c>
      <c r="N8" s="5">
        <f t="shared" si="1"/>
        <v>119.45205855784467</v>
      </c>
      <c r="O8" s="6">
        <f t="shared" si="1"/>
        <v>119.45205855784467</v>
      </c>
      <c r="P8" s="72" t="s">
        <v>45</v>
      </c>
      <c r="Q8" s="3"/>
      <c r="X8" s="104"/>
    </row>
    <row r="9" spans="1:24" ht="21" customHeight="1" thickBot="1">
      <c r="A9" s="19"/>
      <c r="B9" s="20" t="s">
        <v>73</v>
      </c>
      <c r="C9" s="21"/>
      <c r="D9" s="21"/>
      <c r="E9" s="21">
        <v>24</v>
      </c>
      <c r="F9" s="21">
        <v>24</v>
      </c>
      <c r="G9" s="21">
        <v>48</v>
      </c>
      <c r="H9" s="21">
        <v>24</v>
      </c>
      <c r="I9" s="21">
        <v>72</v>
      </c>
      <c r="J9" s="21">
        <v>72</v>
      </c>
      <c r="K9" s="21">
        <v>72</v>
      </c>
      <c r="L9" s="21">
        <v>72</v>
      </c>
      <c r="M9" s="21">
        <v>96</v>
      </c>
      <c r="N9" s="21">
        <v>120</v>
      </c>
      <c r="O9" s="22">
        <v>96</v>
      </c>
      <c r="P9" s="75">
        <f>SUM(C9:O9)/H4*O4</f>
        <v>13.589178987102862</v>
      </c>
      <c r="X9" s="104"/>
    </row>
    <row r="10" spans="1:24" ht="30.75" customHeight="1">
      <c r="A10" s="128" t="s">
        <v>18</v>
      </c>
      <c r="B10" s="129"/>
      <c r="C10" s="5">
        <f>C9-C8</f>
        <v>-4.424150316957212</v>
      </c>
      <c r="D10" s="5">
        <f aca="true" t="shared" si="2" ref="D10:O10">IF(C13="",D9-D8+C10,D9-D8+((C13-1)*$J4)/$M4*$H4)</f>
        <v>-18.361034099313258</v>
      </c>
      <c r="E10" s="5">
        <f t="shared" si="2"/>
        <v>-2.1468467670364495</v>
      </c>
      <c r="F10" s="5">
        <f t="shared" si="2"/>
        <v>-17.580665220989616</v>
      </c>
      <c r="G10" s="5">
        <f t="shared" si="2"/>
        <v>-12.019242908082415</v>
      </c>
      <c r="H10" s="5">
        <f t="shared" si="2"/>
        <v>-49.654841340905094</v>
      </c>
      <c r="I10" s="5">
        <f t="shared" si="2"/>
        <v>-77.12594396900866</v>
      </c>
      <c r="J10" s="5">
        <f t="shared" si="2"/>
        <v>-79.28248878763868</v>
      </c>
      <c r="K10" s="5">
        <f t="shared" si="2"/>
        <v>-73.06188719404828</v>
      </c>
      <c r="L10" s="5">
        <f t="shared" si="2"/>
        <v>-107.24149480102135</v>
      </c>
      <c r="M10" s="5">
        <f t="shared" si="2"/>
        <v>-95.20668996302167</v>
      </c>
      <c r="N10" s="5">
        <f t="shared" si="2"/>
        <v>-94.65874852086634</v>
      </c>
      <c r="O10" s="5">
        <f t="shared" si="2"/>
        <v>-80.19720855784468</v>
      </c>
      <c r="X10" s="104"/>
    </row>
    <row r="11" spans="1:16" ht="31.5" customHeight="1" thickBot="1">
      <c r="A11" s="128" t="s">
        <v>17</v>
      </c>
      <c r="B11" s="129"/>
      <c r="C11" s="7">
        <f aca="true" t="shared" si="3" ref="C11:O11">C10/$H4*$O4/$I4</f>
        <v>-0.2385736925515056</v>
      </c>
      <c r="D11" s="7">
        <f t="shared" si="3"/>
        <v>-0.9901245189042335</v>
      </c>
      <c r="E11" s="7">
        <f t="shared" si="3"/>
        <v>-0.11576938482198981</v>
      </c>
      <c r="F11" s="7">
        <f t="shared" si="3"/>
        <v>-0.9480428825411198</v>
      </c>
      <c r="G11" s="7">
        <f t="shared" si="3"/>
        <v>-0.6481414411404709</v>
      </c>
      <c r="H11" s="7">
        <f t="shared" si="3"/>
        <v>-2.67765288316569</v>
      </c>
      <c r="I11" s="7">
        <f t="shared" si="3"/>
        <v>-4.159040702952878</v>
      </c>
      <c r="J11" s="7">
        <f t="shared" si="3"/>
        <v>-4.275333058246817</v>
      </c>
      <c r="K11" s="7">
        <f t="shared" si="3"/>
        <v>-3.93988516752159</v>
      </c>
      <c r="L11" s="7">
        <f t="shared" si="3"/>
        <v>-5.783031221014047</v>
      </c>
      <c r="M11" s="7">
        <f t="shared" si="3"/>
        <v>-5.134050597925044</v>
      </c>
      <c r="N11" s="7">
        <f t="shared" si="3"/>
        <v>-5.104502683909567</v>
      </c>
      <c r="O11" s="7">
        <f t="shared" si="3"/>
        <v>-4.3246596085657485</v>
      </c>
      <c r="P11" s="2" t="s">
        <v>44</v>
      </c>
    </row>
    <row r="12" spans="1:16" s="12" customFormat="1" ht="31.5" customHeight="1" thickBot="1">
      <c r="A12" s="130" t="s">
        <v>16</v>
      </c>
      <c r="B12" s="131"/>
      <c r="C12" s="13">
        <f aca="true" t="shared" si="4" ref="C12:O12">($J4+C11)/$J4</f>
        <v>0.9766104222988721</v>
      </c>
      <c r="D12" s="13">
        <f t="shared" si="4"/>
        <v>0.9029289687348792</v>
      </c>
      <c r="E12" s="13">
        <f t="shared" si="4"/>
        <v>0.9886500603115697</v>
      </c>
      <c r="F12" s="13">
        <f t="shared" si="4"/>
        <v>0.9070546193587137</v>
      </c>
      <c r="G12" s="13">
        <f t="shared" si="4"/>
        <v>0.9364567214568166</v>
      </c>
      <c r="H12" s="13">
        <f t="shared" si="4"/>
        <v>0.7374850114543441</v>
      </c>
      <c r="I12" s="13">
        <f t="shared" si="4"/>
        <v>0.592250911475208</v>
      </c>
      <c r="J12" s="13">
        <f t="shared" si="4"/>
        <v>0.5808497001718808</v>
      </c>
      <c r="K12" s="13">
        <f t="shared" si="4"/>
        <v>0.6137367482821972</v>
      </c>
      <c r="L12" s="13">
        <f t="shared" si="4"/>
        <v>0.4330361548025444</v>
      </c>
      <c r="M12" s="13">
        <f t="shared" si="4"/>
        <v>0.4966617060857801</v>
      </c>
      <c r="N12" s="13">
        <f t="shared" si="4"/>
        <v>0.49955856040102287</v>
      </c>
      <c r="O12" s="13">
        <f t="shared" si="4"/>
        <v>0.5760137638661031</v>
      </c>
      <c r="P12" s="76">
        <f>O11</f>
        <v>-4.3246596085657485</v>
      </c>
    </row>
    <row r="13" spans="1:15" s="11" customFormat="1" ht="32.25" customHeight="1" thickBot="1">
      <c r="A13" s="132" t="s">
        <v>21</v>
      </c>
      <c r="B13" s="133"/>
      <c r="C13" s="17"/>
      <c r="D13" s="17">
        <v>0.98</v>
      </c>
      <c r="E13" s="17"/>
      <c r="F13" s="17">
        <v>0.95</v>
      </c>
      <c r="G13" s="17"/>
      <c r="H13" s="17">
        <v>0.6</v>
      </c>
      <c r="I13" s="17">
        <v>0.65</v>
      </c>
      <c r="J13" s="17">
        <v>0.75</v>
      </c>
      <c r="K13" s="17"/>
      <c r="L13" s="17">
        <v>0.6</v>
      </c>
      <c r="M13" s="17"/>
      <c r="N13" s="17">
        <v>0.7</v>
      </c>
      <c r="O13" s="18"/>
    </row>
    <row r="14" spans="1:15" s="107" customFormat="1" ht="10.5" customHeight="1">
      <c r="A14" s="105"/>
      <c r="B14" s="10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107" customFormat="1" ht="10.5" customHeight="1">
      <c r="A15" s="105"/>
      <c r="B15" s="10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s="107" customFormat="1" ht="10.5" customHeight="1">
      <c r="A16" s="105"/>
      <c r="B16" s="10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23" s="39" customFormat="1" ht="10.5" customHeight="1" thickBot="1">
      <c r="A17" s="105"/>
      <c r="B17" s="10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1"/>
      <c r="Q17"/>
      <c r="R17"/>
      <c r="S17"/>
      <c r="T17"/>
      <c r="U17"/>
      <c r="V17"/>
      <c r="W17"/>
    </row>
    <row r="18" spans="1:15" ht="12.75" customHeight="1">
      <c r="A18" s="121" t="s">
        <v>55</v>
      </c>
      <c r="B18" s="12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23" s="31" customFormat="1" ht="15">
      <c r="A19" s="123"/>
      <c r="B19" s="123"/>
      <c r="C19" s="46">
        <v>36897</v>
      </c>
      <c r="D19" s="46">
        <v>36904</v>
      </c>
      <c r="E19" s="46">
        <v>36911</v>
      </c>
      <c r="F19" s="46">
        <v>36918</v>
      </c>
      <c r="G19" s="46">
        <v>36925</v>
      </c>
      <c r="H19" s="46">
        <v>36932</v>
      </c>
      <c r="I19" s="46">
        <v>36939</v>
      </c>
      <c r="J19" s="46">
        <v>36946</v>
      </c>
      <c r="K19" s="46">
        <v>36953</v>
      </c>
      <c r="L19" s="46">
        <v>36960</v>
      </c>
      <c r="M19" s="46">
        <v>36967</v>
      </c>
      <c r="N19" s="46">
        <v>36974</v>
      </c>
      <c r="O19" s="46">
        <v>36981</v>
      </c>
      <c r="Q19"/>
      <c r="R19"/>
      <c r="S19"/>
      <c r="T19"/>
      <c r="U19"/>
      <c r="V19"/>
      <c r="W19"/>
    </row>
    <row r="20" spans="1:15" ht="14.25">
      <c r="A20" s="51"/>
      <c r="B20" s="52" t="s">
        <v>24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>
        <v>0.04</v>
      </c>
      <c r="O20" s="50">
        <v>0.05</v>
      </c>
    </row>
    <row r="21" spans="1:15" ht="14.25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23" s="31" customFormat="1" ht="15">
      <c r="A22" s="55"/>
      <c r="B22" s="52"/>
      <c r="C22" s="46">
        <v>36988</v>
      </c>
      <c r="D22" s="46">
        <v>36995</v>
      </c>
      <c r="E22" s="46">
        <v>37002</v>
      </c>
      <c r="F22" s="46">
        <v>37009</v>
      </c>
      <c r="G22" s="46">
        <v>37016</v>
      </c>
      <c r="H22" s="46">
        <v>37023</v>
      </c>
      <c r="I22" s="46">
        <v>37030</v>
      </c>
      <c r="J22" s="46">
        <v>37037</v>
      </c>
      <c r="K22" s="46">
        <v>37044</v>
      </c>
      <c r="L22" s="46">
        <v>37051</v>
      </c>
      <c r="M22" s="46">
        <v>37058</v>
      </c>
      <c r="N22" s="46">
        <v>37065</v>
      </c>
      <c r="O22" s="46">
        <v>37072</v>
      </c>
      <c r="Q22"/>
      <c r="R22"/>
      <c r="S22"/>
      <c r="T22"/>
      <c r="U22"/>
      <c r="V22"/>
      <c r="W22"/>
    </row>
    <row r="23" spans="1:15" ht="14.25">
      <c r="A23" s="51"/>
      <c r="B23" s="52" t="s">
        <v>25</v>
      </c>
      <c r="C23" s="50">
        <v>0.08350079239302695</v>
      </c>
      <c r="D23" s="50">
        <v>0.2630427892234548</v>
      </c>
      <c r="E23" s="50">
        <v>0.42209191759112513</v>
      </c>
      <c r="F23" s="50">
        <v>0.7442683571051241</v>
      </c>
      <c r="G23" s="50">
        <v>0.954294770206022</v>
      </c>
      <c r="H23" s="50">
        <v>1.1633016376122556</v>
      </c>
      <c r="I23" s="50">
        <v>1.386582144743793</v>
      </c>
      <c r="J23" s="50">
        <v>1.605784469096672</v>
      </c>
      <c r="K23" s="50">
        <v>1.8453777073428421</v>
      </c>
      <c r="L23" s="50">
        <v>2.0040190174326464</v>
      </c>
      <c r="M23" s="50">
        <v>2.18080824088748</v>
      </c>
      <c r="N23" s="50">
        <v>2.254521394611727</v>
      </c>
      <c r="O23" s="50">
        <v>2.254521394611727</v>
      </c>
    </row>
    <row r="24" spans="1:15" ht="14.25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23" s="31" customFormat="1" ht="15">
      <c r="A25" s="55"/>
      <c r="B25" s="52"/>
      <c r="C25" s="46">
        <v>37079</v>
      </c>
      <c r="D25" s="46">
        <v>37086</v>
      </c>
      <c r="E25" s="46">
        <v>37093</v>
      </c>
      <c r="F25" s="46">
        <v>37100</v>
      </c>
      <c r="G25" s="46">
        <v>37107</v>
      </c>
      <c r="H25" s="46">
        <v>37114</v>
      </c>
      <c r="I25" s="46">
        <v>37121</v>
      </c>
      <c r="J25" s="46">
        <v>37128</v>
      </c>
      <c r="K25" s="46">
        <v>37135</v>
      </c>
      <c r="L25" s="46">
        <v>37142</v>
      </c>
      <c r="M25" s="46">
        <v>37149</v>
      </c>
      <c r="N25" s="46">
        <v>37156</v>
      </c>
      <c r="O25" s="46">
        <v>37163</v>
      </c>
      <c r="Q25"/>
      <c r="R25"/>
      <c r="S25"/>
      <c r="T25"/>
      <c r="U25"/>
      <c r="V25"/>
      <c r="W25"/>
    </row>
    <row r="26" spans="1:15" ht="14.25">
      <c r="A26" s="51"/>
      <c r="B26" s="52" t="s">
        <v>26</v>
      </c>
      <c r="C26" s="50">
        <v>2.2930602218700473</v>
      </c>
      <c r="D26" s="50">
        <v>2.2930602218700473</v>
      </c>
      <c r="E26" s="50">
        <v>2.20813206550449</v>
      </c>
      <c r="F26" s="50">
        <v>2.20813206550449</v>
      </c>
      <c r="G26" s="50">
        <v>2.1232039091389328</v>
      </c>
      <c r="H26" s="50">
        <v>2.086806127839408</v>
      </c>
      <c r="I26" s="50">
        <v>2.014010565240359</v>
      </c>
      <c r="J26" s="50">
        <v>1.8642393026941362</v>
      </c>
      <c r="K26" s="50">
        <v>1.7046804014791337</v>
      </c>
      <c r="L26" s="50">
        <v>1.5415530903328052</v>
      </c>
      <c r="M26" s="50">
        <v>1.3688420496566298</v>
      </c>
      <c r="N26" s="50">
        <v>1.2571279024120734</v>
      </c>
      <c r="O26" s="50">
        <v>1.0482783460596454</v>
      </c>
    </row>
    <row r="27" spans="1:15" ht="14.25">
      <c r="A27" s="51"/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23" s="31" customFormat="1" ht="15">
      <c r="A28" s="55"/>
      <c r="B28" s="52"/>
      <c r="C28" s="46">
        <v>37170</v>
      </c>
      <c r="D28" s="46">
        <v>37177</v>
      </c>
      <c r="E28" s="46">
        <v>37184</v>
      </c>
      <c r="F28" s="46">
        <v>37191</v>
      </c>
      <c r="G28" s="46">
        <v>37198</v>
      </c>
      <c r="H28" s="46">
        <v>37205</v>
      </c>
      <c r="I28" s="46">
        <v>37212</v>
      </c>
      <c r="J28" s="46">
        <v>37219</v>
      </c>
      <c r="K28" s="46">
        <v>37226</v>
      </c>
      <c r="L28" s="46">
        <v>37233</v>
      </c>
      <c r="M28" s="46">
        <v>37240</v>
      </c>
      <c r="N28" s="46">
        <v>37247</v>
      </c>
      <c r="O28" s="46">
        <v>37254</v>
      </c>
      <c r="Q28"/>
      <c r="R28"/>
      <c r="S28"/>
      <c r="T28"/>
      <c r="U28"/>
      <c r="V28"/>
      <c r="W28"/>
    </row>
    <row r="29" spans="1:15" ht="14.25">
      <c r="A29" s="51"/>
      <c r="B29" s="52" t="s">
        <v>27</v>
      </c>
      <c r="C29" s="50">
        <v>0.8258320126782883</v>
      </c>
      <c r="D29" s="50">
        <v>0.5994928684627575</v>
      </c>
      <c r="E29" s="50">
        <v>0.493460116217644</v>
      </c>
      <c r="F29" s="50">
        <v>0.38742736397253036</v>
      </c>
      <c r="G29" s="50">
        <v>0.30280507131537243</v>
      </c>
      <c r="H29" s="50">
        <v>0.22837823560486004</v>
      </c>
      <c r="I29" s="50">
        <v>0.14375594294770203</v>
      </c>
      <c r="J29" s="50">
        <v>0.0836027469624934</v>
      </c>
      <c r="K29" s="50"/>
      <c r="L29" s="50"/>
      <c r="M29" s="50"/>
      <c r="N29" s="50"/>
      <c r="O29" s="50"/>
    </row>
    <row r="34" spans="2:3" ht="14.25">
      <c r="B34" s="74">
        <v>38070</v>
      </c>
      <c r="C34" s="73">
        <v>0.03915055467511886</v>
      </c>
    </row>
    <row r="35" spans="2:3" ht="14.25">
      <c r="B35" s="74">
        <v>38077</v>
      </c>
      <c r="C35" s="73">
        <v>0.054545694664553626</v>
      </c>
    </row>
    <row r="36" spans="2:3" ht="14.25">
      <c r="B36" s="74">
        <v>38084</v>
      </c>
      <c r="C36" s="73">
        <v>0.08350079239302695</v>
      </c>
    </row>
    <row r="37" spans="2:3" ht="14.25">
      <c r="B37" s="74">
        <v>38091</v>
      </c>
      <c r="C37" s="73">
        <v>0.2630427892234548</v>
      </c>
    </row>
    <row r="38" spans="2:3" ht="14.25">
      <c r="B38" s="74">
        <v>38098</v>
      </c>
      <c r="C38" s="73">
        <v>0.42209191759112513</v>
      </c>
    </row>
    <row r="39" spans="2:3" ht="14.25">
      <c r="B39" s="74">
        <v>38105</v>
      </c>
      <c r="C39" s="73">
        <v>0.7442683571051241</v>
      </c>
    </row>
    <row r="40" spans="2:3" ht="14.25">
      <c r="B40" s="74">
        <v>38112</v>
      </c>
      <c r="C40" s="73">
        <v>0.954294770206022</v>
      </c>
    </row>
    <row r="41" spans="2:3" ht="14.25">
      <c r="B41" s="74">
        <v>38119</v>
      </c>
      <c r="C41" s="73">
        <v>1.1633016376122556</v>
      </c>
    </row>
    <row r="42" spans="2:3" ht="14.25">
      <c r="B42" s="74">
        <v>38126</v>
      </c>
      <c r="C42" s="73">
        <v>1.386582144743793</v>
      </c>
    </row>
    <row r="43" spans="2:3" ht="14.25">
      <c r="B43" s="74">
        <v>38133</v>
      </c>
      <c r="C43" s="73">
        <v>1.605784469096672</v>
      </c>
    </row>
    <row r="44" spans="2:3" ht="14.25">
      <c r="B44" s="74">
        <v>38140</v>
      </c>
      <c r="C44" s="73">
        <v>1.8453777073428421</v>
      </c>
    </row>
    <row r="45" spans="2:3" ht="14.25">
      <c r="B45" s="74">
        <v>38147</v>
      </c>
      <c r="C45" s="73">
        <v>2.0040190174326464</v>
      </c>
    </row>
    <row r="46" spans="2:3" ht="14.25">
      <c r="B46" s="74">
        <v>38154</v>
      </c>
      <c r="C46" s="73">
        <v>2.18080824088748</v>
      </c>
    </row>
    <row r="47" spans="2:3" ht="14.25">
      <c r="B47" s="74">
        <v>38161</v>
      </c>
      <c r="C47" s="73">
        <v>2.254521394611727</v>
      </c>
    </row>
    <row r="48" spans="2:3" ht="14.25">
      <c r="B48" s="74">
        <v>38168</v>
      </c>
      <c r="C48" s="73">
        <v>2.254521394611727</v>
      </c>
    </row>
    <row r="49" spans="2:3" ht="14.25">
      <c r="B49" s="74">
        <v>38175</v>
      </c>
      <c r="C49" s="73">
        <v>2.2930602218700473</v>
      </c>
    </row>
    <row r="50" spans="2:3" ht="14.25">
      <c r="B50" s="74">
        <v>38182</v>
      </c>
      <c r="C50" s="73">
        <v>2.2930602218700473</v>
      </c>
    </row>
    <row r="51" spans="2:3" ht="14.25">
      <c r="B51" s="74">
        <v>38189</v>
      </c>
      <c r="C51" s="73">
        <v>2.20813206550449</v>
      </c>
    </row>
    <row r="52" spans="2:3" ht="14.25">
      <c r="B52" s="74">
        <v>38196</v>
      </c>
      <c r="C52" s="73">
        <v>2.20813206550449</v>
      </c>
    </row>
    <row r="53" spans="2:3" ht="14.25">
      <c r="B53" s="74">
        <v>38203</v>
      </c>
      <c r="C53" s="73">
        <v>2.1232039091389328</v>
      </c>
    </row>
    <row r="54" spans="2:3" ht="14.25">
      <c r="B54" s="74">
        <v>38210</v>
      </c>
      <c r="C54" s="73">
        <v>2.086806127839408</v>
      </c>
    </row>
    <row r="55" spans="2:3" ht="14.25">
      <c r="B55" s="74">
        <v>38217</v>
      </c>
      <c r="C55" s="73">
        <v>2.014010565240359</v>
      </c>
    </row>
    <row r="56" spans="2:3" ht="14.25">
      <c r="B56" s="74">
        <v>38224</v>
      </c>
      <c r="C56" s="73">
        <v>1.8642393026941362</v>
      </c>
    </row>
    <row r="57" spans="2:3" ht="14.25">
      <c r="B57" s="74">
        <v>38231</v>
      </c>
      <c r="C57" s="73">
        <v>1.7046804014791337</v>
      </c>
    </row>
    <row r="58" spans="2:3" ht="14.25">
      <c r="B58" s="74">
        <v>38238</v>
      </c>
      <c r="C58" s="73">
        <v>1.5415530903328052</v>
      </c>
    </row>
    <row r="59" spans="2:3" ht="14.25">
      <c r="B59" s="74">
        <v>38245</v>
      </c>
      <c r="C59" s="73">
        <v>1.3688420496566298</v>
      </c>
    </row>
    <row r="60" spans="2:3" ht="14.25">
      <c r="B60" s="74">
        <v>38252</v>
      </c>
      <c r="C60" s="73">
        <v>1.2571279024120734</v>
      </c>
    </row>
    <row r="61" spans="2:3" ht="14.25">
      <c r="B61" s="74">
        <v>38259</v>
      </c>
      <c r="C61" s="73">
        <v>1.0482783460596454</v>
      </c>
    </row>
    <row r="62" spans="2:3" ht="14.25">
      <c r="B62" s="74">
        <v>38266</v>
      </c>
      <c r="C62" s="73">
        <v>0.8258320126782883</v>
      </c>
    </row>
    <row r="63" spans="2:3" ht="14.25">
      <c r="B63" s="74">
        <v>38273</v>
      </c>
      <c r="C63" s="73">
        <v>0.5994928684627575</v>
      </c>
    </row>
    <row r="64" spans="2:3" ht="14.25">
      <c r="B64" s="74">
        <v>38280</v>
      </c>
      <c r="C64" s="73">
        <v>0.493460116217644</v>
      </c>
    </row>
    <row r="65" spans="2:3" ht="14.25">
      <c r="B65" s="74">
        <v>38287</v>
      </c>
      <c r="C65" s="73">
        <v>0.38742736397253036</v>
      </c>
    </row>
    <row r="66" spans="2:3" ht="14.25">
      <c r="B66" s="74">
        <v>38294</v>
      </c>
      <c r="C66" s="73">
        <v>0.30280507131537243</v>
      </c>
    </row>
    <row r="67" spans="2:3" ht="14.25">
      <c r="B67" s="74">
        <v>38301</v>
      </c>
      <c r="C67" s="73">
        <v>0.22837823560486004</v>
      </c>
    </row>
    <row r="68" spans="2:3" ht="14.25">
      <c r="B68" s="74">
        <v>38308</v>
      </c>
      <c r="C68" s="73">
        <v>0.14375594294770203</v>
      </c>
    </row>
    <row r="69" spans="2:3" ht="14.25">
      <c r="B69" s="74">
        <v>38315</v>
      </c>
      <c r="C69" s="73">
        <v>0.0836027469624934</v>
      </c>
    </row>
    <row r="70" ht="12.75">
      <c r="C70" s="73">
        <f>SUM(C34:C69)</f>
        <v>44.3316915099614</v>
      </c>
    </row>
  </sheetData>
  <sheetProtection/>
  <mergeCells count="7">
    <mergeCell ref="Q5:T7"/>
    <mergeCell ref="A8:B8"/>
    <mergeCell ref="A10:B10"/>
    <mergeCell ref="A18:B19"/>
    <mergeCell ref="A13:B13"/>
    <mergeCell ref="A12:B12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">
      <selection activeCell="A1" sqref="A1:P16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8.140625" style="0" customWidth="1"/>
    <col min="8" max="8" width="8.421875" style="0" customWidth="1"/>
    <col min="9" max="10" width="7.7109375" style="0" customWidth="1"/>
    <col min="11" max="11" width="6.7109375" style="0" customWidth="1"/>
    <col min="12" max="12" width="7.00390625" style="0" customWidth="1"/>
    <col min="13" max="15" width="7.7109375" style="0" customWidth="1"/>
    <col min="16" max="16" width="12.8515625" style="0" customWidth="1"/>
    <col min="21" max="21" width="4.7109375" style="0" customWidth="1"/>
  </cols>
  <sheetData>
    <row r="1" spans="1:8" ht="19.5" customHeight="1" thickBot="1">
      <c r="A1" s="117" t="s">
        <v>74</v>
      </c>
      <c r="B1" s="119" t="s">
        <v>76</v>
      </c>
      <c r="C1" s="118"/>
      <c r="F1" s="77" t="s">
        <v>32</v>
      </c>
      <c r="H1" s="40" t="s">
        <v>46</v>
      </c>
    </row>
    <row r="2" ht="5.25" customHeight="1" thickBot="1"/>
    <row r="3" spans="1:15" s="1" customFormat="1" ht="48.75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19</v>
      </c>
      <c r="G3" s="8" t="s">
        <v>14</v>
      </c>
      <c r="H3" s="8" t="s">
        <v>4</v>
      </c>
      <c r="I3" s="8" t="s">
        <v>5</v>
      </c>
      <c r="J3" s="9" t="s">
        <v>8</v>
      </c>
      <c r="K3" s="8" t="s">
        <v>12</v>
      </c>
      <c r="L3" s="8" t="s">
        <v>20</v>
      </c>
      <c r="M3" s="8" t="s">
        <v>9</v>
      </c>
      <c r="N3" s="8" t="s">
        <v>10</v>
      </c>
      <c r="O3" s="10" t="s">
        <v>11</v>
      </c>
    </row>
    <row r="4" spans="1:16" s="2" customFormat="1" ht="56.25" customHeight="1" thickBot="1" thickTop="1">
      <c r="A4" s="23">
        <v>1</v>
      </c>
      <c r="B4" s="24" t="s">
        <v>13</v>
      </c>
      <c r="C4" s="25">
        <v>2.6</v>
      </c>
      <c r="D4" s="25">
        <v>0.9</v>
      </c>
      <c r="E4" s="26">
        <v>6</v>
      </c>
      <c r="F4" s="26" t="s">
        <v>71</v>
      </c>
      <c r="G4" s="26" t="s">
        <v>37</v>
      </c>
      <c r="H4" s="27">
        <v>24</v>
      </c>
      <c r="I4" s="28">
        <v>0.35</v>
      </c>
      <c r="J4" s="41">
        <f>(C4-D4)*E4</f>
        <v>10.200000000000001</v>
      </c>
      <c r="K4" s="27">
        <v>340</v>
      </c>
      <c r="L4" s="27">
        <v>4</v>
      </c>
      <c r="M4" s="42">
        <f>L4*H4/7.48/K4/I4*12</f>
        <v>1.294207522581225</v>
      </c>
      <c r="N4" s="29">
        <v>1</v>
      </c>
      <c r="O4" s="43">
        <f>L4*H4/7.48/K4*12</f>
        <v>0.4529726329034287</v>
      </c>
      <c r="P4" s="78" t="s">
        <v>48</v>
      </c>
    </row>
    <row r="5" spans="1:20" ht="21" customHeight="1" thickBot="1">
      <c r="A5" s="44"/>
      <c r="B5" s="45" t="s">
        <v>15</v>
      </c>
      <c r="C5" s="46">
        <v>36988</v>
      </c>
      <c r="D5" s="46">
        <v>36995</v>
      </c>
      <c r="E5" s="46">
        <v>37002</v>
      </c>
      <c r="F5" s="46">
        <v>37009</v>
      </c>
      <c r="G5" s="46">
        <v>37016</v>
      </c>
      <c r="H5" s="46">
        <v>37023</v>
      </c>
      <c r="I5" s="46">
        <v>37030</v>
      </c>
      <c r="J5" s="46">
        <v>37037</v>
      </c>
      <c r="K5" s="46">
        <v>37044</v>
      </c>
      <c r="L5" s="46">
        <v>37051</v>
      </c>
      <c r="M5" s="46">
        <v>37058</v>
      </c>
      <c r="N5" s="46">
        <v>37065</v>
      </c>
      <c r="O5" s="46">
        <v>37072</v>
      </c>
      <c r="P5" s="71" t="s">
        <v>47</v>
      </c>
      <c r="Q5" s="124" t="s">
        <v>56</v>
      </c>
      <c r="R5" s="125"/>
      <c r="S5" s="126"/>
      <c r="T5" s="127"/>
    </row>
    <row r="6" spans="1:20" ht="20.25" customHeight="1" thickBot="1">
      <c r="A6" s="115"/>
      <c r="B6" s="116" t="s">
        <v>38</v>
      </c>
      <c r="C6" s="111">
        <v>0.08350079239302695</v>
      </c>
      <c r="D6" s="111">
        <v>0.2630427892234548</v>
      </c>
      <c r="E6" s="111">
        <v>0.42209191759112513</v>
      </c>
      <c r="F6" s="111">
        <v>0.7442683571051241</v>
      </c>
      <c r="G6" s="111">
        <v>0.954294770206022</v>
      </c>
      <c r="H6" s="111">
        <v>1.1633016376122556</v>
      </c>
      <c r="I6" s="111">
        <v>1.386582144743793</v>
      </c>
      <c r="J6" s="111">
        <v>1.605784469096672</v>
      </c>
      <c r="K6" s="111">
        <v>1.8453777073428421</v>
      </c>
      <c r="L6" s="111">
        <v>2.0040190174326464</v>
      </c>
      <c r="M6" s="111">
        <v>2.18080824088748</v>
      </c>
      <c r="N6" s="111">
        <v>2.254521394611727</v>
      </c>
      <c r="O6" s="111">
        <v>2.254521394611727</v>
      </c>
      <c r="P6" s="120">
        <f>SUM(C6:O6)</f>
        <v>17.162114632857897</v>
      </c>
      <c r="Q6" s="125"/>
      <c r="R6" s="125"/>
      <c r="S6" s="126"/>
      <c r="T6" s="127"/>
    </row>
    <row r="7" spans="1:20" ht="24" customHeight="1" thickBot="1">
      <c r="A7" s="14"/>
      <c r="B7" s="15" t="s">
        <v>23</v>
      </c>
      <c r="C7" s="16">
        <f aca="true" t="shared" si="0" ref="C7:O7">C6*$A4</f>
        <v>0.08350079239302695</v>
      </c>
      <c r="D7" s="16">
        <f t="shared" si="0"/>
        <v>0.2630427892234548</v>
      </c>
      <c r="E7" s="16">
        <f t="shared" si="0"/>
        <v>0.42209191759112513</v>
      </c>
      <c r="F7" s="16">
        <f t="shared" si="0"/>
        <v>0.7442683571051241</v>
      </c>
      <c r="G7" s="16">
        <f t="shared" si="0"/>
        <v>0.954294770206022</v>
      </c>
      <c r="H7" s="16">
        <f t="shared" si="0"/>
        <v>1.1633016376122556</v>
      </c>
      <c r="I7" s="16">
        <f t="shared" si="0"/>
        <v>1.386582144743793</v>
      </c>
      <c r="J7" s="16">
        <f t="shared" si="0"/>
        <v>1.605784469096672</v>
      </c>
      <c r="K7" s="16">
        <f t="shared" si="0"/>
        <v>1.8453777073428421</v>
      </c>
      <c r="L7" s="16">
        <f t="shared" si="0"/>
        <v>2.0040190174326464</v>
      </c>
      <c r="M7" s="16">
        <f t="shared" si="0"/>
        <v>2.18080824088748</v>
      </c>
      <c r="N7" s="16">
        <f t="shared" si="0"/>
        <v>2.254521394611727</v>
      </c>
      <c r="O7" s="16">
        <f t="shared" si="0"/>
        <v>2.254521394611727</v>
      </c>
      <c r="P7" s="114">
        <f>SUM(C7:O7)</f>
        <v>17.162114632857897</v>
      </c>
      <c r="Q7" s="126"/>
      <c r="R7" s="126"/>
      <c r="S7" s="126"/>
      <c r="T7" s="127"/>
    </row>
    <row r="8" spans="1:17" ht="27.75" customHeight="1" thickBot="1">
      <c r="A8" s="128" t="s">
        <v>72</v>
      </c>
      <c r="B8" s="129"/>
      <c r="C8" s="5">
        <f aca="true" t="shared" si="1" ref="C8:O8">C7/$O4*$H4</f>
        <v>4.424150316957212</v>
      </c>
      <c r="D8" s="5">
        <f t="shared" si="1"/>
        <v>13.936883782356048</v>
      </c>
      <c r="E8" s="5">
        <f t="shared" si="1"/>
        <v>22.363836767036446</v>
      </c>
      <c r="F8" s="5">
        <f t="shared" si="1"/>
        <v>39.433818453953165</v>
      </c>
      <c r="G8" s="5">
        <f t="shared" si="1"/>
        <v>50.56171790808241</v>
      </c>
      <c r="H8" s="5">
        <f t="shared" si="1"/>
        <v>61.63559843282268</v>
      </c>
      <c r="I8" s="5">
        <f t="shared" si="1"/>
        <v>73.46574396900864</v>
      </c>
      <c r="J8" s="5">
        <f t="shared" si="1"/>
        <v>85.07981378763868</v>
      </c>
      <c r="K8" s="5">
        <f t="shared" si="1"/>
        <v>97.77426219404828</v>
      </c>
      <c r="L8" s="5">
        <f t="shared" si="1"/>
        <v>106.17960760697306</v>
      </c>
      <c r="M8" s="5">
        <f t="shared" si="1"/>
        <v>115.54648996302166</v>
      </c>
      <c r="N8" s="5">
        <f t="shared" si="1"/>
        <v>119.45205855784467</v>
      </c>
      <c r="O8" s="6">
        <f t="shared" si="1"/>
        <v>119.45205855784467</v>
      </c>
      <c r="P8" s="72" t="s">
        <v>45</v>
      </c>
      <c r="Q8" s="3"/>
    </row>
    <row r="9" spans="1:16" ht="21" customHeight="1" thickBot="1">
      <c r="A9" s="19"/>
      <c r="B9" s="20" t="s">
        <v>73</v>
      </c>
      <c r="C9" s="21"/>
      <c r="D9" s="21"/>
      <c r="E9" s="21">
        <v>24</v>
      </c>
      <c r="F9" s="21">
        <v>24</v>
      </c>
      <c r="G9" s="21">
        <v>48</v>
      </c>
      <c r="H9" s="21">
        <v>24</v>
      </c>
      <c r="I9" s="21">
        <v>72</v>
      </c>
      <c r="J9" s="21">
        <v>72</v>
      </c>
      <c r="K9" s="21">
        <v>96</v>
      </c>
      <c r="L9" s="21">
        <v>96</v>
      </c>
      <c r="M9" s="21">
        <v>120</v>
      </c>
      <c r="N9" s="21">
        <v>120</v>
      </c>
      <c r="O9" s="22">
        <v>96</v>
      </c>
      <c r="P9" s="75">
        <f>SUM(C9:O9)/H4*O4</f>
        <v>14.948096885813147</v>
      </c>
    </row>
    <row r="10" spans="1:19" ht="30.75" customHeight="1">
      <c r="A10" s="128" t="s">
        <v>18</v>
      </c>
      <c r="B10" s="129"/>
      <c r="C10" s="5">
        <f>C9-C8</f>
        <v>-4.424150316957212</v>
      </c>
      <c r="D10" s="5">
        <f aca="true" t="shared" si="2" ref="D10:O10">IF(C13="",D9-D8+C10,D9-D8+((C13-1)*$J4)/$M4*$H4)</f>
        <v>-18.361034099313258</v>
      </c>
      <c r="E10" s="5">
        <f t="shared" si="2"/>
        <v>-2.1468467670364495</v>
      </c>
      <c r="F10" s="5">
        <f t="shared" si="2"/>
        <v>-17.580665220989616</v>
      </c>
      <c r="G10" s="5">
        <f t="shared" si="2"/>
        <v>-12.019242908082415</v>
      </c>
      <c r="H10" s="5">
        <f t="shared" si="2"/>
        <v>-49.654841340905094</v>
      </c>
      <c r="I10" s="5">
        <f t="shared" si="2"/>
        <v>-77.12594396900866</v>
      </c>
      <c r="J10" s="5">
        <f t="shared" si="2"/>
        <v>-79.28248878763868</v>
      </c>
      <c r="K10" s="5">
        <f t="shared" si="2"/>
        <v>-49.06188719404828</v>
      </c>
      <c r="L10" s="5">
        <f t="shared" si="2"/>
        <v>-59.24149480102135</v>
      </c>
      <c r="M10" s="5">
        <f t="shared" si="2"/>
        <v>-42.83411496302166</v>
      </c>
      <c r="N10" s="5">
        <f t="shared" si="2"/>
        <v>-42.28617352086633</v>
      </c>
      <c r="O10" s="5">
        <f t="shared" si="2"/>
        <v>-80.19720855784468</v>
      </c>
      <c r="S10" s="73"/>
    </row>
    <row r="11" spans="1:16" ht="31.5" customHeight="1" thickBot="1">
      <c r="A11" s="128" t="s">
        <v>17</v>
      </c>
      <c r="B11" s="129"/>
      <c r="C11" s="7">
        <f aca="true" t="shared" si="3" ref="C11:O11">C10/$H4*$O4/$I4</f>
        <v>-0.2385736925515056</v>
      </c>
      <c r="D11" s="7">
        <f t="shared" si="3"/>
        <v>-0.9901245189042335</v>
      </c>
      <c r="E11" s="7">
        <f t="shared" si="3"/>
        <v>-0.11576938482198981</v>
      </c>
      <c r="F11" s="7">
        <f t="shared" si="3"/>
        <v>-0.9480428825411198</v>
      </c>
      <c r="G11" s="7">
        <f t="shared" si="3"/>
        <v>-0.6481414411404709</v>
      </c>
      <c r="H11" s="7">
        <f t="shared" si="3"/>
        <v>-2.67765288316569</v>
      </c>
      <c r="I11" s="7">
        <f t="shared" si="3"/>
        <v>-4.159040702952878</v>
      </c>
      <c r="J11" s="7">
        <f t="shared" si="3"/>
        <v>-4.275333058246817</v>
      </c>
      <c r="K11" s="7">
        <f t="shared" si="3"/>
        <v>-2.6456776449403647</v>
      </c>
      <c r="L11" s="7">
        <f t="shared" si="3"/>
        <v>-3.1946161758515985</v>
      </c>
      <c r="M11" s="7">
        <f t="shared" si="3"/>
        <v>-2.3098430753438186</v>
      </c>
      <c r="N11" s="7">
        <f t="shared" si="3"/>
        <v>-2.280295161328342</v>
      </c>
      <c r="O11" s="7">
        <f t="shared" si="3"/>
        <v>-4.3246596085657485</v>
      </c>
      <c r="P11" s="2" t="s">
        <v>44</v>
      </c>
    </row>
    <row r="12" spans="1:16" s="12" customFormat="1" ht="31.5" customHeight="1" thickBot="1">
      <c r="A12" s="130" t="s">
        <v>16</v>
      </c>
      <c r="B12" s="131"/>
      <c r="C12" s="13">
        <f aca="true" t="shared" si="4" ref="C12:O12">($J4+C11)/$J4</f>
        <v>0.9766104222988721</v>
      </c>
      <c r="D12" s="13">
        <f t="shared" si="4"/>
        <v>0.9029289687348792</v>
      </c>
      <c r="E12" s="13">
        <f t="shared" si="4"/>
        <v>0.9886500603115697</v>
      </c>
      <c r="F12" s="13">
        <f t="shared" si="4"/>
        <v>0.9070546193587137</v>
      </c>
      <c r="G12" s="13">
        <f t="shared" si="4"/>
        <v>0.9364567214568166</v>
      </c>
      <c r="H12" s="13">
        <f t="shared" si="4"/>
        <v>0.7374850114543441</v>
      </c>
      <c r="I12" s="13">
        <f t="shared" si="4"/>
        <v>0.592250911475208</v>
      </c>
      <c r="J12" s="13">
        <f t="shared" si="4"/>
        <v>0.5808497001718808</v>
      </c>
      <c r="K12" s="13">
        <f t="shared" si="4"/>
        <v>0.7406198387313367</v>
      </c>
      <c r="L12" s="13">
        <f t="shared" si="4"/>
        <v>0.6868023357008237</v>
      </c>
      <c r="M12" s="13">
        <f t="shared" si="4"/>
        <v>0.7735447965349197</v>
      </c>
      <c r="N12" s="13">
        <f t="shared" si="4"/>
        <v>0.7764416508501626</v>
      </c>
      <c r="O12" s="13">
        <f t="shared" si="4"/>
        <v>0.5760137638661031</v>
      </c>
      <c r="P12" s="76">
        <f>O11</f>
        <v>-4.3246596085657485</v>
      </c>
    </row>
    <row r="13" spans="1:15" s="11" customFormat="1" ht="32.25" customHeight="1" thickBot="1">
      <c r="A13" s="132" t="s">
        <v>21</v>
      </c>
      <c r="B13" s="133"/>
      <c r="C13" s="17"/>
      <c r="D13" s="17">
        <v>0.98</v>
      </c>
      <c r="E13" s="17"/>
      <c r="F13" s="17">
        <v>0.95</v>
      </c>
      <c r="G13" s="17"/>
      <c r="H13" s="17">
        <v>0.6</v>
      </c>
      <c r="I13" s="17">
        <v>0.65</v>
      </c>
      <c r="J13" s="17">
        <v>0.75</v>
      </c>
      <c r="K13" s="17"/>
      <c r="L13" s="17">
        <v>0.75</v>
      </c>
      <c r="M13" s="17"/>
      <c r="N13" s="17">
        <v>0.7</v>
      </c>
      <c r="O13" s="18"/>
    </row>
    <row r="14" spans="1:23" s="39" customFormat="1" ht="10.5" customHeight="1">
      <c r="A14" s="105"/>
      <c r="B14" s="10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1"/>
      <c r="Q14"/>
      <c r="R14"/>
      <c r="S14"/>
      <c r="T14"/>
      <c r="U14"/>
      <c r="V14"/>
      <c r="W14"/>
    </row>
    <row r="15" spans="1:15" ht="12.75" customHeight="1">
      <c r="A15" s="105"/>
      <c r="B15" s="10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23" s="31" customFormat="1" ht="15.75">
      <c r="A16" s="105"/>
      <c r="B16" s="10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Q16"/>
      <c r="R16"/>
      <c r="S16"/>
      <c r="T16"/>
      <c r="U16"/>
      <c r="V16"/>
      <c r="W16"/>
    </row>
    <row r="17" spans="1:15" ht="16.5" thickBot="1">
      <c r="A17" s="105"/>
      <c r="B17" s="10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2.75">
      <c r="A18" s="121" t="s">
        <v>55</v>
      </c>
      <c r="B18" s="12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23" s="31" customFormat="1" ht="15">
      <c r="A19" s="123"/>
      <c r="B19" s="123"/>
      <c r="C19" s="46">
        <v>36897</v>
      </c>
      <c r="D19" s="46">
        <v>36904</v>
      </c>
      <c r="E19" s="46">
        <v>36911</v>
      </c>
      <c r="F19" s="46">
        <v>36918</v>
      </c>
      <c r="G19" s="46">
        <v>36925</v>
      </c>
      <c r="H19" s="46">
        <v>36932</v>
      </c>
      <c r="I19" s="46">
        <v>36939</v>
      </c>
      <c r="J19" s="46">
        <v>36946</v>
      </c>
      <c r="K19" s="46">
        <v>36953</v>
      </c>
      <c r="L19" s="46">
        <v>36960</v>
      </c>
      <c r="M19" s="46">
        <v>36967</v>
      </c>
      <c r="N19" s="46">
        <v>36974</v>
      </c>
      <c r="O19" s="46">
        <v>36981</v>
      </c>
      <c r="Q19"/>
      <c r="R19"/>
      <c r="S19"/>
      <c r="T19"/>
      <c r="U19"/>
      <c r="V19"/>
      <c r="W19"/>
    </row>
    <row r="20" spans="1:15" ht="14.25">
      <c r="A20" s="51"/>
      <c r="B20" s="52" t="s">
        <v>24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>
        <v>0.04</v>
      </c>
      <c r="O20" s="50">
        <v>0.05</v>
      </c>
    </row>
    <row r="21" spans="1:15" ht="14.25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23" s="31" customFormat="1" ht="15">
      <c r="A22" s="55"/>
      <c r="B22" s="52"/>
      <c r="C22" s="46">
        <v>36988</v>
      </c>
      <c r="D22" s="46">
        <v>36995</v>
      </c>
      <c r="E22" s="46">
        <v>37002</v>
      </c>
      <c r="F22" s="46">
        <v>37009</v>
      </c>
      <c r="G22" s="46">
        <v>37016</v>
      </c>
      <c r="H22" s="46">
        <v>37023</v>
      </c>
      <c r="I22" s="46">
        <v>37030</v>
      </c>
      <c r="J22" s="46">
        <v>37037</v>
      </c>
      <c r="K22" s="46">
        <v>37044</v>
      </c>
      <c r="L22" s="46">
        <v>37051</v>
      </c>
      <c r="M22" s="46">
        <v>37058</v>
      </c>
      <c r="N22" s="46">
        <v>37065</v>
      </c>
      <c r="O22" s="46">
        <v>37072</v>
      </c>
      <c r="Q22"/>
      <c r="R22"/>
      <c r="S22"/>
      <c r="T22"/>
      <c r="U22"/>
      <c r="V22"/>
      <c r="W22"/>
    </row>
    <row r="23" spans="1:15" ht="14.25">
      <c r="A23" s="51"/>
      <c r="B23" s="52" t="s">
        <v>25</v>
      </c>
      <c r="C23" s="50">
        <v>0.08350079239302695</v>
      </c>
      <c r="D23" s="50">
        <v>0.2630427892234548</v>
      </c>
      <c r="E23" s="50">
        <v>0.42209191759112513</v>
      </c>
      <c r="F23" s="50">
        <v>0.7442683571051241</v>
      </c>
      <c r="G23" s="50">
        <v>0.954294770206022</v>
      </c>
      <c r="H23" s="50">
        <v>1.1633016376122556</v>
      </c>
      <c r="I23" s="50">
        <v>1.386582144743793</v>
      </c>
      <c r="J23" s="50">
        <v>1.605784469096672</v>
      </c>
      <c r="K23" s="50">
        <v>1.8453777073428421</v>
      </c>
      <c r="L23" s="50">
        <v>2.0040190174326464</v>
      </c>
      <c r="M23" s="50">
        <v>2.18080824088748</v>
      </c>
      <c r="N23" s="50">
        <v>2.254521394611727</v>
      </c>
      <c r="O23" s="50">
        <v>2.254521394611727</v>
      </c>
    </row>
    <row r="24" spans="1:15" ht="14.25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23" s="31" customFormat="1" ht="15">
      <c r="A25" s="55"/>
      <c r="B25" s="52"/>
      <c r="C25" s="46">
        <v>37079</v>
      </c>
      <c r="D25" s="46">
        <v>37086</v>
      </c>
      <c r="E25" s="46">
        <v>37093</v>
      </c>
      <c r="F25" s="46">
        <v>37100</v>
      </c>
      <c r="G25" s="46">
        <v>37107</v>
      </c>
      <c r="H25" s="46">
        <v>37114</v>
      </c>
      <c r="I25" s="46">
        <v>37121</v>
      </c>
      <c r="J25" s="46">
        <v>37128</v>
      </c>
      <c r="K25" s="46">
        <v>37135</v>
      </c>
      <c r="L25" s="46">
        <v>37142</v>
      </c>
      <c r="M25" s="46">
        <v>37149</v>
      </c>
      <c r="N25" s="46">
        <v>37156</v>
      </c>
      <c r="O25" s="46">
        <v>37163</v>
      </c>
      <c r="Q25"/>
      <c r="R25"/>
      <c r="S25"/>
      <c r="T25"/>
      <c r="U25"/>
      <c r="V25"/>
      <c r="W25"/>
    </row>
    <row r="26" spans="1:15" ht="14.25">
      <c r="A26" s="51"/>
      <c r="B26" s="52" t="s">
        <v>26</v>
      </c>
      <c r="C26" s="50">
        <v>2.2930602218700473</v>
      </c>
      <c r="D26" s="50">
        <v>2.2930602218700473</v>
      </c>
      <c r="E26" s="50">
        <v>2.20813206550449</v>
      </c>
      <c r="F26" s="50">
        <v>2.20813206550449</v>
      </c>
      <c r="G26" s="50">
        <v>2.1232039091389328</v>
      </c>
      <c r="H26" s="50">
        <v>2.086806127839408</v>
      </c>
      <c r="I26" s="50">
        <v>2.014010565240359</v>
      </c>
      <c r="J26" s="50">
        <v>1.8642393026941362</v>
      </c>
      <c r="K26" s="50">
        <v>1.7046804014791337</v>
      </c>
      <c r="L26" s="50">
        <v>1.5415530903328052</v>
      </c>
      <c r="M26" s="50">
        <v>1.3688420496566298</v>
      </c>
      <c r="N26" s="50">
        <v>1.2571279024120734</v>
      </c>
      <c r="O26" s="50">
        <v>1.0482783460596454</v>
      </c>
    </row>
    <row r="27" spans="1:15" ht="14.25">
      <c r="A27" s="51"/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5">
      <c r="A28" s="55"/>
      <c r="B28" s="52"/>
      <c r="C28" s="46">
        <v>37170</v>
      </c>
      <c r="D28" s="46">
        <v>37177</v>
      </c>
      <c r="E28" s="46">
        <v>37184</v>
      </c>
      <c r="F28" s="46">
        <v>37191</v>
      </c>
      <c r="G28" s="46">
        <v>37198</v>
      </c>
      <c r="H28" s="46">
        <v>37205</v>
      </c>
      <c r="I28" s="46">
        <v>37212</v>
      </c>
      <c r="J28" s="46">
        <v>37219</v>
      </c>
      <c r="K28" s="46">
        <v>37226</v>
      </c>
      <c r="L28" s="46">
        <v>37233</v>
      </c>
      <c r="M28" s="46">
        <v>37240</v>
      </c>
      <c r="N28" s="46">
        <v>37247</v>
      </c>
      <c r="O28" s="46">
        <v>37254</v>
      </c>
    </row>
    <row r="29" spans="1:15" ht="14.25">
      <c r="A29" s="51"/>
      <c r="B29" s="52" t="s">
        <v>27</v>
      </c>
      <c r="C29" s="50">
        <v>0.8258320126782883</v>
      </c>
      <c r="D29" s="50">
        <v>0.5994928684627575</v>
      </c>
      <c r="E29" s="50">
        <v>0.493460116217644</v>
      </c>
      <c r="F29" s="50">
        <v>0.38742736397253036</v>
      </c>
      <c r="G29" s="50">
        <v>0.30280507131537243</v>
      </c>
      <c r="H29" s="50">
        <v>0.22837823560486004</v>
      </c>
      <c r="I29" s="50">
        <v>0.14375594294770203</v>
      </c>
      <c r="J29" s="50">
        <v>0.0836027469624934</v>
      </c>
      <c r="K29" s="50"/>
      <c r="L29" s="50"/>
      <c r="M29" s="50"/>
      <c r="N29" s="50"/>
      <c r="O29" s="50"/>
    </row>
    <row r="34" spans="2:3" ht="14.25">
      <c r="B34" s="74">
        <v>38070</v>
      </c>
      <c r="C34" s="73">
        <v>0.03915055467511886</v>
      </c>
    </row>
    <row r="35" spans="2:3" ht="14.25">
      <c r="B35" s="74">
        <v>38077</v>
      </c>
      <c r="C35" s="73">
        <v>0.054545694664553626</v>
      </c>
    </row>
    <row r="36" spans="2:3" ht="14.25">
      <c r="B36" s="74">
        <v>38084</v>
      </c>
      <c r="C36" s="73">
        <v>0.08350079239302695</v>
      </c>
    </row>
    <row r="37" spans="2:3" ht="14.25">
      <c r="B37" s="74">
        <v>38091</v>
      </c>
      <c r="C37" s="73">
        <v>0.2630427892234548</v>
      </c>
    </row>
    <row r="38" spans="2:3" ht="14.25">
      <c r="B38" s="74">
        <v>38098</v>
      </c>
      <c r="C38" s="73">
        <v>0.42209191759112513</v>
      </c>
    </row>
    <row r="39" spans="2:3" ht="14.25">
      <c r="B39" s="74">
        <v>38105</v>
      </c>
      <c r="C39" s="73">
        <v>0.7442683571051241</v>
      </c>
    </row>
    <row r="40" spans="2:3" ht="14.25">
      <c r="B40" s="74">
        <v>38112</v>
      </c>
      <c r="C40" s="73">
        <v>0.954294770206022</v>
      </c>
    </row>
    <row r="41" spans="2:3" ht="14.25">
      <c r="B41" s="74">
        <v>38119</v>
      </c>
      <c r="C41" s="73">
        <v>1.1633016376122556</v>
      </c>
    </row>
    <row r="42" spans="2:3" ht="14.25">
      <c r="B42" s="74">
        <v>38126</v>
      </c>
      <c r="C42" s="73">
        <v>1.386582144743793</v>
      </c>
    </row>
    <row r="43" spans="2:3" ht="14.25">
      <c r="B43" s="74">
        <v>38133</v>
      </c>
      <c r="C43" s="73">
        <v>1.605784469096672</v>
      </c>
    </row>
    <row r="44" spans="2:3" ht="14.25">
      <c r="B44" s="74">
        <v>38140</v>
      </c>
      <c r="C44" s="73">
        <v>1.8453777073428421</v>
      </c>
    </row>
    <row r="45" spans="2:3" ht="14.25">
      <c r="B45" s="74">
        <v>38147</v>
      </c>
      <c r="C45" s="73">
        <v>2.0040190174326464</v>
      </c>
    </row>
    <row r="46" spans="2:3" ht="14.25">
      <c r="B46" s="74">
        <v>38154</v>
      </c>
      <c r="C46" s="73">
        <v>2.18080824088748</v>
      </c>
    </row>
    <row r="47" spans="2:3" ht="14.25">
      <c r="B47" s="74">
        <v>38161</v>
      </c>
      <c r="C47" s="73">
        <v>2.254521394611727</v>
      </c>
    </row>
    <row r="48" spans="2:3" ht="14.25">
      <c r="B48" s="74">
        <v>38168</v>
      </c>
      <c r="C48" s="73">
        <v>2.254521394611727</v>
      </c>
    </row>
    <row r="49" spans="2:3" ht="14.25">
      <c r="B49" s="74">
        <v>38175</v>
      </c>
      <c r="C49" s="73">
        <v>2.2930602218700473</v>
      </c>
    </row>
    <row r="50" spans="2:3" ht="14.25">
      <c r="B50" s="74">
        <v>38182</v>
      </c>
      <c r="C50" s="73">
        <v>2.2930602218700473</v>
      </c>
    </row>
    <row r="51" spans="2:3" ht="14.25">
      <c r="B51" s="74">
        <v>38189</v>
      </c>
      <c r="C51" s="73">
        <v>2.20813206550449</v>
      </c>
    </row>
    <row r="52" spans="2:3" ht="14.25">
      <c r="B52" s="74">
        <v>38196</v>
      </c>
      <c r="C52" s="73">
        <v>2.20813206550449</v>
      </c>
    </row>
    <row r="53" spans="2:3" ht="14.25">
      <c r="B53" s="74">
        <v>38203</v>
      </c>
      <c r="C53" s="73">
        <v>2.1232039091389328</v>
      </c>
    </row>
    <row r="54" spans="2:3" ht="14.25">
      <c r="B54" s="74">
        <v>38210</v>
      </c>
      <c r="C54" s="73">
        <v>2.086806127839408</v>
      </c>
    </row>
    <row r="55" spans="2:3" ht="14.25">
      <c r="B55" s="74">
        <v>38217</v>
      </c>
      <c r="C55" s="73">
        <v>2.014010565240359</v>
      </c>
    </row>
    <row r="56" spans="2:3" ht="14.25">
      <c r="B56" s="74">
        <v>38224</v>
      </c>
      <c r="C56" s="73">
        <v>1.8642393026941362</v>
      </c>
    </row>
    <row r="57" spans="2:3" ht="14.25">
      <c r="B57" s="74">
        <v>38231</v>
      </c>
      <c r="C57" s="73">
        <v>1.7046804014791337</v>
      </c>
    </row>
    <row r="58" spans="2:3" ht="14.25">
      <c r="B58" s="74">
        <v>38238</v>
      </c>
      <c r="C58" s="73">
        <v>1.5415530903328052</v>
      </c>
    </row>
    <row r="59" spans="2:3" ht="14.25">
      <c r="B59" s="74">
        <v>38245</v>
      </c>
      <c r="C59" s="73">
        <v>1.3688420496566298</v>
      </c>
    </row>
    <row r="60" spans="2:3" ht="14.25">
      <c r="B60" s="74">
        <v>38252</v>
      </c>
      <c r="C60" s="73">
        <v>1.2571279024120734</v>
      </c>
    </row>
    <row r="61" spans="2:3" ht="14.25">
      <c r="B61" s="74">
        <v>38259</v>
      </c>
      <c r="C61" s="73">
        <v>1.0482783460596454</v>
      </c>
    </row>
    <row r="62" spans="2:3" ht="14.25">
      <c r="B62" s="74">
        <v>38266</v>
      </c>
      <c r="C62" s="73">
        <v>0.8258320126782883</v>
      </c>
    </row>
    <row r="63" spans="2:3" ht="14.25">
      <c r="B63" s="74">
        <v>38273</v>
      </c>
      <c r="C63" s="73">
        <v>0.5994928684627575</v>
      </c>
    </row>
    <row r="64" spans="2:3" ht="14.25">
      <c r="B64" s="74">
        <v>38280</v>
      </c>
      <c r="C64" s="73">
        <v>0.493460116217644</v>
      </c>
    </row>
    <row r="65" spans="2:3" ht="14.25">
      <c r="B65" s="74">
        <v>38287</v>
      </c>
      <c r="C65" s="73">
        <v>0.38742736397253036</v>
      </c>
    </row>
    <row r="66" spans="2:3" ht="14.25">
      <c r="B66" s="74">
        <v>38294</v>
      </c>
      <c r="C66" s="73">
        <v>0.30280507131537243</v>
      </c>
    </row>
    <row r="67" spans="2:3" ht="14.25">
      <c r="B67" s="74">
        <v>38301</v>
      </c>
      <c r="C67" s="73">
        <v>0.22837823560486004</v>
      </c>
    </row>
    <row r="68" spans="2:3" ht="14.25">
      <c r="B68" s="74">
        <v>38308</v>
      </c>
      <c r="C68" s="73">
        <v>0.14375594294770203</v>
      </c>
    </row>
    <row r="69" spans="2:3" ht="14.25">
      <c r="B69" s="74">
        <v>38315</v>
      </c>
      <c r="C69" s="73">
        <v>0.0836027469624934</v>
      </c>
    </row>
    <row r="70" ht="12.75">
      <c r="C70" s="73">
        <f>SUM(C34:C69)</f>
        <v>44.3316915099614</v>
      </c>
    </row>
  </sheetData>
  <sheetProtection/>
  <mergeCells count="7">
    <mergeCell ref="Q5:T7"/>
    <mergeCell ref="A18:B19"/>
    <mergeCell ref="A8:B8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1">
      <selection activeCell="P16" sqref="A1:P16"/>
    </sheetView>
  </sheetViews>
  <sheetFormatPr defaultColWidth="9.140625" defaultRowHeight="12.75"/>
  <cols>
    <col min="2" max="2" width="14.140625" style="0" customWidth="1"/>
    <col min="3" max="4" width="7.7109375" style="0" customWidth="1"/>
    <col min="5" max="5" width="8.57421875" style="0" customWidth="1"/>
    <col min="6" max="6" width="7.421875" style="0" customWidth="1"/>
    <col min="7" max="7" width="8.140625" style="0" customWidth="1"/>
    <col min="8" max="8" width="8.421875" style="0" customWidth="1"/>
    <col min="9" max="10" width="7.7109375" style="0" customWidth="1"/>
    <col min="11" max="11" width="6.7109375" style="0" customWidth="1"/>
    <col min="12" max="12" width="7.00390625" style="0" customWidth="1"/>
    <col min="13" max="15" width="7.7109375" style="0" customWidth="1"/>
    <col min="16" max="16" width="12.8515625" style="0" customWidth="1"/>
    <col min="21" max="21" width="4.7109375" style="0" customWidth="1"/>
  </cols>
  <sheetData>
    <row r="1" spans="1:8" ht="19.5" customHeight="1" thickBot="1">
      <c r="A1" s="117" t="s">
        <v>74</v>
      </c>
      <c r="B1" s="119" t="s">
        <v>75</v>
      </c>
      <c r="C1" s="118"/>
      <c r="F1" s="77" t="s">
        <v>32</v>
      </c>
      <c r="H1" s="40" t="s">
        <v>46</v>
      </c>
    </row>
    <row r="2" ht="5.25" customHeight="1" thickBot="1"/>
    <row r="3" spans="1:15" s="1" customFormat="1" ht="48.75" thickBot="1">
      <c r="A3" s="30" t="s">
        <v>22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19</v>
      </c>
      <c r="G3" s="8" t="s">
        <v>14</v>
      </c>
      <c r="H3" s="8" t="s">
        <v>4</v>
      </c>
      <c r="I3" s="8" t="s">
        <v>5</v>
      </c>
      <c r="J3" s="9" t="s">
        <v>8</v>
      </c>
      <c r="K3" s="8" t="s">
        <v>12</v>
      </c>
      <c r="L3" s="8" t="s">
        <v>20</v>
      </c>
      <c r="M3" s="8" t="s">
        <v>9</v>
      </c>
      <c r="N3" s="8" t="s">
        <v>10</v>
      </c>
      <c r="O3" s="10" t="s">
        <v>11</v>
      </c>
    </row>
    <row r="4" spans="1:16" s="2" customFormat="1" ht="56.25" customHeight="1" thickBot="1" thickTop="1">
      <c r="A4" s="23">
        <v>0.7</v>
      </c>
      <c r="B4" s="24" t="s">
        <v>13</v>
      </c>
      <c r="C4" s="25">
        <v>2.6</v>
      </c>
      <c r="D4" s="25">
        <v>0.9</v>
      </c>
      <c r="E4" s="26">
        <v>6</v>
      </c>
      <c r="F4" s="26" t="s">
        <v>71</v>
      </c>
      <c r="G4" s="26" t="s">
        <v>37</v>
      </c>
      <c r="H4" s="27">
        <v>24</v>
      </c>
      <c r="I4" s="28">
        <v>0.35</v>
      </c>
      <c r="J4" s="41">
        <f>(C4-D4)*E4</f>
        <v>10.200000000000001</v>
      </c>
      <c r="K4" s="27">
        <v>340</v>
      </c>
      <c r="L4" s="27">
        <v>4</v>
      </c>
      <c r="M4" s="42">
        <f>L4*H4/7.48/K4/I4*12</f>
        <v>1.294207522581225</v>
      </c>
      <c r="N4" s="29">
        <v>1</v>
      </c>
      <c r="O4" s="43">
        <f>L4*H4/7.48/K4*12</f>
        <v>0.4529726329034287</v>
      </c>
      <c r="P4" s="78" t="s">
        <v>48</v>
      </c>
    </row>
    <row r="5" spans="1:20" ht="21" customHeight="1" thickBot="1">
      <c r="A5" s="44"/>
      <c r="B5" s="108" t="s">
        <v>15</v>
      </c>
      <c r="C5" s="109">
        <v>36988</v>
      </c>
      <c r="D5" s="109">
        <v>36995</v>
      </c>
      <c r="E5" s="109">
        <v>37002</v>
      </c>
      <c r="F5" s="109">
        <v>37009</v>
      </c>
      <c r="G5" s="109">
        <v>37016</v>
      </c>
      <c r="H5" s="109">
        <v>37023</v>
      </c>
      <c r="I5" s="109">
        <v>37030</v>
      </c>
      <c r="J5" s="109">
        <v>37037</v>
      </c>
      <c r="K5" s="109">
        <v>37044</v>
      </c>
      <c r="L5" s="109">
        <v>37051</v>
      </c>
      <c r="M5" s="109">
        <v>37058</v>
      </c>
      <c r="N5" s="109">
        <v>37065</v>
      </c>
      <c r="O5" s="109">
        <v>37072</v>
      </c>
      <c r="P5" s="110" t="s">
        <v>47</v>
      </c>
      <c r="Q5" s="124" t="s">
        <v>56</v>
      </c>
      <c r="R5" s="125"/>
      <c r="S5" s="126"/>
      <c r="T5" s="127"/>
    </row>
    <row r="6" spans="1:20" ht="20.25" customHeight="1" thickBot="1">
      <c r="A6" s="112"/>
      <c r="B6" s="113" t="s">
        <v>38</v>
      </c>
      <c r="C6" s="111">
        <v>0.08350079239302695</v>
      </c>
      <c r="D6" s="111">
        <v>0.2630427892234548</v>
      </c>
      <c r="E6" s="111">
        <v>0.42209191759112513</v>
      </c>
      <c r="F6" s="111">
        <v>0.7442683571051241</v>
      </c>
      <c r="G6" s="111">
        <v>0.954294770206022</v>
      </c>
      <c r="H6" s="111">
        <v>1.1633016376122556</v>
      </c>
      <c r="I6" s="111">
        <v>1.386582144743793</v>
      </c>
      <c r="J6" s="111">
        <v>1.605784469096672</v>
      </c>
      <c r="K6" s="111">
        <v>1.8453777073428421</v>
      </c>
      <c r="L6" s="111">
        <v>2.0040190174326464</v>
      </c>
      <c r="M6" s="111">
        <v>2.18080824088748</v>
      </c>
      <c r="N6" s="111">
        <v>2.254521394611727</v>
      </c>
      <c r="O6" s="111">
        <v>2.254521394611727</v>
      </c>
      <c r="P6" s="120">
        <f>SUM(C6:O6)</f>
        <v>17.162114632857897</v>
      </c>
      <c r="Q6" s="125"/>
      <c r="R6" s="125"/>
      <c r="S6" s="126"/>
      <c r="T6" s="127"/>
    </row>
    <row r="7" spans="1:20" ht="24" customHeight="1" thickBot="1">
      <c r="A7" s="14"/>
      <c r="B7" s="15" t="s">
        <v>23</v>
      </c>
      <c r="C7" s="16">
        <f aca="true" t="shared" si="0" ref="C7:O7">C6*$A4</f>
        <v>0.05845055467511886</v>
      </c>
      <c r="D7" s="16">
        <f t="shared" si="0"/>
        <v>0.18412995245641836</v>
      </c>
      <c r="E7" s="16">
        <f t="shared" si="0"/>
        <v>0.2954643423137876</v>
      </c>
      <c r="F7" s="16">
        <f t="shared" si="0"/>
        <v>0.5209878499735868</v>
      </c>
      <c r="G7" s="16">
        <f t="shared" si="0"/>
        <v>0.6680063391442154</v>
      </c>
      <c r="H7" s="16">
        <f t="shared" si="0"/>
        <v>0.8143111463285788</v>
      </c>
      <c r="I7" s="16">
        <f t="shared" si="0"/>
        <v>0.970607501320655</v>
      </c>
      <c r="J7" s="16">
        <f t="shared" si="0"/>
        <v>1.1240491283676703</v>
      </c>
      <c r="K7" s="16">
        <f t="shared" si="0"/>
        <v>1.2917643951399893</v>
      </c>
      <c r="L7" s="16">
        <f t="shared" si="0"/>
        <v>1.4028133122028523</v>
      </c>
      <c r="M7" s="16">
        <f t="shared" si="0"/>
        <v>1.526565768621236</v>
      </c>
      <c r="N7" s="16">
        <f t="shared" si="0"/>
        <v>1.5781649762282086</v>
      </c>
      <c r="O7" s="16">
        <f t="shared" si="0"/>
        <v>1.5781649762282086</v>
      </c>
      <c r="P7" s="114">
        <f>SUM(C7:O7)</f>
        <v>12.013480243000526</v>
      </c>
      <c r="Q7" s="126"/>
      <c r="R7" s="126"/>
      <c r="S7" s="126"/>
      <c r="T7" s="127"/>
    </row>
    <row r="8" spans="1:17" ht="27.75" customHeight="1" thickBot="1">
      <c r="A8" s="128" t="s">
        <v>72</v>
      </c>
      <c r="B8" s="129"/>
      <c r="C8" s="5">
        <f aca="true" t="shared" si="1" ref="C8:O8">C7/$O4*$H4</f>
        <v>3.0969052218700477</v>
      </c>
      <c r="D8" s="5">
        <f t="shared" si="1"/>
        <v>9.755818647649233</v>
      </c>
      <c r="E8" s="5">
        <f t="shared" si="1"/>
        <v>15.654685736925515</v>
      </c>
      <c r="F8" s="5">
        <f t="shared" si="1"/>
        <v>27.603672917767213</v>
      </c>
      <c r="G8" s="5">
        <f t="shared" si="1"/>
        <v>35.39320253565768</v>
      </c>
      <c r="H8" s="5">
        <f t="shared" si="1"/>
        <v>43.144918902975874</v>
      </c>
      <c r="I8" s="5">
        <f t="shared" si="1"/>
        <v>51.42602077830604</v>
      </c>
      <c r="J8" s="5">
        <f t="shared" si="1"/>
        <v>59.555869651347074</v>
      </c>
      <c r="K8" s="5">
        <f t="shared" si="1"/>
        <v>68.44198353583377</v>
      </c>
      <c r="L8" s="5">
        <f t="shared" si="1"/>
        <v>74.32572532488113</v>
      </c>
      <c r="M8" s="5">
        <f t="shared" si="1"/>
        <v>80.88254297411515</v>
      </c>
      <c r="N8" s="5">
        <f t="shared" si="1"/>
        <v>83.61644099049126</v>
      </c>
      <c r="O8" s="6">
        <f t="shared" si="1"/>
        <v>83.61644099049126</v>
      </c>
      <c r="P8" s="72" t="s">
        <v>45</v>
      </c>
      <c r="Q8" s="3"/>
    </row>
    <row r="9" spans="1:16" ht="21" customHeight="1" thickBot="1">
      <c r="A9" s="19"/>
      <c r="B9" s="20" t="s">
        <v>73</v>
      </c>
      <c r="C9" s="21"/>
      <c r="D9" s="21"/>
      <c r="E9" s="21">
        <v>24</v>
      </c>
      <c r="F9" s="21">
        <v>24</v>
      </c>
      <c r="G9" s="21">
        <v>24</v>
      </c>
      <c r="H9" s="21">
        <v>24</v>
      </c>
      <c r="I9" s="21">
        <v>48</v>
      </c>
      <c r="J9" s="21">
        <v>48</v>
      </c>
      <c r="K9" s="21">
        <v>48</v>
      </c>
      <c r="L9" s="21">
        <v>72</v>
      </c>
      <c r="M9" s="21">
        <v>72</v>
      </c>
      <c r="N9" s="21">
        <v>72</v>
      </c>
      <c r="O9" s="22">
        <v>96</v>
      </c>
      <c r="P9" s="75">
        <f>SUM(C9:O9)/H4*O4</f>
        <v>10.41837055677886</v>
      </c>
    </row>
    <row r="10" spans="1:15" ht="30.75" customHeight="1">
      <c r="A10" s="128" t="s">
        <v>18</v>
      </c>
      <c r="B10" s="129"/>
      <c r="C10" s="5">
        <f>C9-C8</f>
        <v>-3.0969052218700477</v>
      </c>
      <c r="D10" s="5">
        <f aca="true" t="shared" si="2" ref="D10:O10">IF(C13="",D9-D8+C10,D9-D8+((C13-1)*$J4)/$M4*$H4)</f>
        <v>-12.85272386951928</v>
      </c>
      <c r="E10" s="5">
        <f t="shared" si="2"/>
        <v>4.5623042630744814</v>
      </c>
      <c r="F10" s="5">
        <f t="shared" si="2"/>
        <v>0.9586313453072686</v>
      </c>
      <c r="G10" s="5">
        <f t="shared" si="2"/>
        <v>-20.850727535657686</v>
      </c>
      <c r="H10" s="5">
        <f t="shared" si="2"/>
        <v>-39.99564643863356</v>
      </c>
      <c r="I10" s="5">
        <f t="shared" si="2"/>
        <v>-43.421667216939596</v>
      </c>
      <c r="J10" s="5">
        <f t="shared" si="2"/>
        <v>-39.92844465134708</v>
      </c>
      <c r="K10" s="5">
        <f t="shared" si="2"/>
        <v>-60.37042818718085</v>
      </c>
      <c r="L10" s="5">
        <f t="shared" si="2"/>
        <v>-62.69615351206198</v>
      </c>
      <c r="M10" s="5">
        <f t="shared" si="2"/>
        <v>-46.71264297411514</v>
      </c>
      <c r="N10" s="5">
        <f t="shared" si="2"/>
        <v>-58.3290839646064</v>
      </c>
      <c r="O10" s="5">
        <f t="shared" si="2"/>
        <v>-45.94552495509765</v>
      </c>
    </row>
    <row r="11" spans="1:16" ht="31.5" customHeight="1" thickBot="1">
      <c r="A11" s="128" t="s">
        <v>17</v>
      </c>
      <c r="B11" s="129"/>
      <c r="C11" s="7">
        <f aca="true" t="shared" si="3" ref="C11:O11">C10/$H4*$O4/$I4</f>
        <v>-0.1670015847860539</v>
      </c>
      <c r="D11" s="7">
        <f t="shared" si="3"/>
        <v>-0.6930871632329635</v>
      </c>
      <c r="E11" s="7">
        <f t="shared" si="3"/>
        <v>0.2460236873989744</v>
      </c>
      <c r="F11" s="7">
        <f t="shared" si="3"/>
        <v>0.051694495769951124</v>
      </c>
      <c r="G11" s="7">
        <f t="shared" si="3"/>
        <v>-1.1243820178308195</v>
      </c>
      <c r="H11" s="7">
        <f t="shared" si="3"/>
        <v>-2.1567777704741053</v>
      </c>
      <c r="I11" s="7">
        <f t="shared" si="3"/>
        <v>-2.341527014799241</v>
      </c>
      <c r="J11" s="7">
        <f t="shared" si="3"/>
        <v>-2.1531538930308947</v>
      </c>
      <c r="K11" s="7">
        <f t="shared" si="3"/>
        <v>-3.2554942625541283</v>
      </c>
      <c r="L11" s="7">
        <f t="shared" si="3"/>
        <v>-3.3809097296757464</v>
      </c>
      <c r="M11" s="7">
        <f t="shared" si="3"/>
        <v>-2.5189939140312845</v>
      </c>
      <c r="N11" s="7">
        <f t="shared" si="3"/>
        <v>-3.1454141355110625</v>
      </c>
      <c r="O11" s="7">
        <f t="shared" si="3"/>
        <v>-2.477626834409616</v>
      </c>
      <c r="P11" s="2" t="s">
        <v>44</v>
      </c>
    </row>
    <row r="12" spans="1:16" s="12" customFormat="1" ht="31.5" customHeight="1" thickBot="1">
      <c r="A12" s="130" t="s">
        <v>16</v>
      </c>
      <c r="B12" s="131"/>
      <c r="C12" s="13">
        <f aca="true" t="shared" si="4" ref="C12:O12">($J4+C11)/$J4</f>
        <v>0.9836272956092105</v>
      </c>
      <c r="D12" s="13">
        <f t="shared" si="4"/>
        <v>0.9320502781144153</v>
      </c>
      <c r="E12" s="13">
        <f t="shared" si="4"/>
        <v>1.0241199693528407</v>
      </c>
      <c r="F12" s="13">
        <f t="shared" si="4"/>
        <v>1.0050680878205833</v>
      </c>
      <c r="G12" s="13">
        <f t="shared" si="4"/>
        <v>0.8897664688401157</v>
      </c>
      <c r="H12" s="13">
        <f t="shared" si="4"/>
        <v>0.7885511989731269</v>
      </c>
      <c r="I12" s="13">
        <f t="shared" si="4"/>
        <v>0.7704385279608588</v>
      </c>
      <c r="J12" s="13">
        <f t="shared" si="4"/>
        <v>0.7889064810754025</v>
      </c>
      <c r="K12" s="13">
        <f t="shared" si="4"/>
        <v>0.6808338958280267</v>
      </c>
      <c r="L12" s="13">
        <f t="shared" si="4"/>
        <v>0.6685382617964954</v>
      </c>
      <c r="M12" s="13">
        <f t="shared" si="4"/>
        <v>0.753039812349874</v>
      </c>
      <c r="N12" s="13">
        <f t="shared" si="4"/>
        <v>0.6916260651459742</v>
      </c>
      <c r="O12" s="13">
        <f t="shared" si="4"/>
        <v>0.7570954083912141</v>
      </c>
      <c r="P12" s="76">
        <f>O11</f>
        <v>-2.477626834409616</v>
      </c>
    </row>
    <row r="13" spans="1:15" s="11" customFormat="1" ht="32.25" customHeight="1" thickBot="1">
      <c r="A13" s="132" t="s">
        <v>21</v>
      </c>
      <c r="B13" s="133"/>
      <c r="C13" s="17"/>
      <c r="D13" s="17">
        <v>0.98</v>
      </c>
      <c r="E13" s="17"/>
      <c r="F13" s="17">
        <v>0.95</v>
      </c>
      <c r="G13" s="17"/>
      <c r="H13" s="17"/>
      <c r="I13" s="17">
        <v>0.85</v>
      </c>
      <c r="J13" s="17"/>
      <c r="K13" s="17"/>
      <c r="L13" s="17">
        <v>0.8</v>
      </c>
      <c r="M13" s="17"/>
      <c r="N13" s="17"/>
      <c r="O13" s="18"/>
    </row>
    <row r="14" spans="1:23" s="39" customFormat="1" ht="10.5" customHeight="1">
      <c r="A14" s="105"/>
      <c r="B14" s="10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1"/>
      <c r="Q14"/>
      <c r="R14"/>
      <c r="S14"/>
      <c r="T14"/>
      <c r="U14"/>
      <c r="V14"/>
      <c r="W14"/>
    </row>
    <row r="15" spans="1:15" ht="12.75" customHeight="1">
      <c r="A15" s="105"/>
      <c r="B15" s="10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23" s="31" customFormat="1" ht="15.75">
      <c r="A16" s="105"/>
      <c r="B16" s="10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Q16"/>
      <c r="R16"/>
      <c r="S16"/>
      <c r="T16"/>
      <c r="U16"/>
      <c r="V16"/>
      <c r="W16"/>
    </row>
    <row r="17" spans="1:15" ht="16.5" thickBot="1">
      <c r="A17" s="105"/>
      <c r="B17" s="10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2.75">
      <c r="A18" s="121" t="s">
        <v>55</v>
      </c>
      <c r="B18" s="12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23" s="31" customFormat="1" ht="15">
      <c r="A19" s="123"/>
      <c r="B19" s="123"/>
      <c r="C19" s="46">
        <v>36897</v>
      </c>
      <c r="D19" s="46">
        <v>36904</v>
      </c>
      <c r="E19" s="46">
        <v>36911</v>
      </c>
      <c r="F19" s="46">
        <v>36918</v>
      </c>
      <c r="G19" s="46">
        <v>36925</v>
      </c>
      <c r="H19" s="46">
        <v>36932</v>
      </c>
      <c r="I19" s="46">
        <v>36939</v>
      </c>
      <c r="J19" s="46">
        <v>36946</v>
      </c>
      <c r="K19" s="46">
        <v>36953</v>
      </c>
      <c r="L19" s="46">
        <v>36960</v>
      </c>
      <c r="M19" s="46">
        <v>36967</v>
      </c>
      <c r="N19" s="46">
        <v>36974</v>
      </c>
      <c r="O19" s="46">
        <v>36981</v>
      </c>
      <c r="Q19"/>
      <c r="R19"/>
      <c r="S19"/>
      <c r="T19"/>
      <c r="U19"/>
      <c r="V19"/>
      <c r="W19"/>
    </row>
    <row r="20" spans="1:15" ht="14.25">
      <c r="A20" s="51"/>
      <c r="B20" s="52" t="s">
        <v>24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>
        <v>0.04</v>
      </c>
      <c r="O20" s="50">
        <v>0.05</v>
      </c>
    </row>
    <row r="21" spans="1:15" ht="14.25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23" s="31" customFormat="1" ht="15">
      <c r="A22" s="55"/>
      <c r="B22" s="52"/>
      <c r="C22" s="46">
        <v>36988</v>
      </c>
      <c r="D22" s="46">
        <v>36995</v>
      </c>
      <c r="E22" s="46">
        <v>37002</v>
      </c>
      <c r="F22" s="46">
        <v>37009</v>
      </c>
      <c r="G22" s="46">
        <v>37016</v>
      </c>
      <c r="H22" s="46">
        <v>37023</v>
      </c>
      <c r="I22" s="46">
        <v>37030</v>
      </c>
      <c r="J22" s="46">
        <v>37037</v>
      </c>
      <c r="K22" s="46">
        <v>37044</v>
      </c>
      <c r="L22" s="46">
        <v>37051</v>
      </c>
      <c r="M22" s="46">
        <v>37058</v>
      </c>
      <c r="N22" s="46">
        <v>37065</v>
      </c>
      <c r="O22" s="46">
        <v>37072</v>
      </c>
      <c r="Q22"/>
      <c r="R22"/>
      <c r="S22"/>
      <c r="T22"/>
      <c r="U22"/>
      <c r="V22"/>
      <c r="W22"/>
    </row>
    <row r="23" spans="1:15" ht="14.25">
      <c r="A23" s="51"/>
      <c r="B23" s="52" t="s">
        <v>25</v>
      </c>
      <c r="C23" s="50">
        <v>0.08350079239302695</v>
      </c>
      <c r="D23" s="50">
        <v>0.2630427892234548</v>
      </c>
      <c r="E23" s="50">
        <v>0.42209191759112513</v>
      </c>
      <c r="F23" s="50">
        <v>0.7442683571051241</v>
      </c>
      <c r="G23" s="50">
        <v>0.954294770206022</v>
      </c>
      <c r="H23" s="50">
        <v>1.1633016376122556</v>
      </c>
      <c r="I23" s="50">
        <v>1.386582144743793</v>
      </c>
      <c r="J23" s="50">
        <v>1.605784469096672</v>
      </c>
      <c r="K23" s="50">
        <v>1.8453777073428421</v>
      </c>
      <c r="L23" s="50">
        <v>2.0040190174326464</v>
      </c>
      <c r="M23" s="50">
        <v>2.18080824088748</v>
      </c>
      <c r="N23" s="50">
        <v>2.254521394611727</v>
      </c>
      <c r="O23" s="50">
        <v>2.254521394611727</v>
      </c>
    </row>
    <row r="24" spans="1:15" ht="14.25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23" s="31" customFormat="1" ht="15">
      <c r="A25" s="55"/>
      <c r="B25" s="52"/>
      <c r="C25" s="46">
        <v>37079</v>
      </c>
      <c r="D25" s="46">
        <v>37086</v>
      </c>
      <c r="E25" s="46">
        <v>37093</v>
      </c>
      <c r="F25" s="46">
        <v>37100</v>
      </c>
      <c r="G25" s="46">
        <v>37107</v>
      </c>
      <c r="H25" s="46">
        <v>37114</v>
      </c>
      <c r="I25" s="46">
        <v>37121</v>
      </c>
      <c r="J25" s="46">
        <v>37128</v>
      </c>
      <c r="K25" s="46">
        <v>37135</v>
      </c>
      <c r="L25" s="46">
        <v>37142</v>
      </c>
      <c r="M25" s="46">
        <v>37149</v>
      </c>
      <c r="N25" s="46">
        <v>37156</v>
      </c>
      <c r="O25" s="46">
        <v>37163</v>
      </c>
      <c r="Q25"/>
      <c r="R25"/>
      <c r="S25"/>
      <c r="T25"/>
      <c r="U25"/>
      <c r="V25"/>
      <c r="W25"/>
    </row>
    <row r="26" spans="1:15" ht="14.25">
      <c r="A26" s="51"/>
      <c r="B26" s="52" t="s">
        <v>26</v>
      </c>
      <c r="C26" s="50">
        <v>2.2930602218700473</v>
      </c>
      <c r="D26" s="50">
        <v>2.2930602218700473</v>
      </c>
      <c r="E26" s="50">
        <v>2.20813206550449</v>
      </c>
      <c r="F26" s="50">
        <v>2.20813206550449</v>
      </c>
      <c r="G26" s="50">
        <v>2.1232039091389328</v>
      </c>
      <c r="H26" s="50">
        <v>2.086806127839408</v>
      </c>
      <c r="I26" s="50">
        <v>2.014010565240359</v>
      </c>
      <c r="J26" s="50">
        <v>1.8642393026941362</v>
      </c>
      <c r="K26" s="50">
        <v>1.7046804014791337</v>
      </c>
      <c r="L26" s="50">
        <v>1.5415530903328052</v>
      </c>
      <c r="M26" s="50">
        <v>1.3688420496566298</v>
      </c>
      <c r="N26" s="50">
        <v>1.2571279024120734</v>
      </c>
      <c r="O26" s="50">
        <v>1.0482783460596454</v>
      </c>
    </row>
    <row r="27" spans="1:15" ht="14.25">
      <c r="A27" s="51"/>
      <c r="B27" s="52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5">
      <c r="A28" s="55"/>
      <c r="B28" s="52"/>
      <c r="C28" s="46">
        <v>37170</v>
      </c>
      <c r="D28" s="46">
        <v>37177</v>
      </c>
      <c r="E28" s="46">
        <v>37184</v>
      </c>
      <c r="F28" s="46">
        <v>37191</v>
      </c>
      <c r="G28" s="46">
        <v>37198</v>
      </c>
      <c r="H28" s="46">
        <v>37205</v>
      </c>
      <c r="I28" s="46">
        <v>37212</v>
      </c>
      <c r="J28" s="46">
        <v>37219</v>
      </c>
      <c r="K28" s="46">
        <v>37226</v>
      </c>
      <c r="L28" s="46">
        <v>37233</v>
      </c>
      <c r="M28" s="46">
        <v>37240</v>
      </c>
      <c r="N28" s="46">
        <v>37247</v>
      </c>
      <c r="O28" s="46">
        <v>37254</v>
      </c>
    </row>
    <row r="29" spans="1:15" ht="14.25">
      <c r="A29" s="51"/>
      <c r="B29" s="52" t="s">
        <v>27</v>
      </c>
      <c r="C29" s="50">
        <v>0.8258320126782883</v>
      </c>
      <c r="D29" s="50">
        <v>0.5994928684627575</v>
      </c>
      <c r="E29" s="50">
        <v>0.493460116217644</v>
      </c>
      <c r="F29" s="50">
        <v>0.38742736397253036</v>
      </c>
      <c r="G29" s="50">
        <v>0.30280507131537243</v>
      </c>
      <c r="H29" s="50">
        <v>0.22837823560486004</v>
      </c>
      <c r="I29" s="50">
        <v>0.14375594294770203</v>
      </c>
      <c r="J29" s="50">
        <v>0.0836027469624934</v>
      </c>
      <c r="K29" s="50"/>
      <c r="L29" s="50"/>
      <c r="M29" s="50"/>
      <c r="N29" s="50"/>
      <c r="O29" s="50"/>
    </row>
    <row r="34" spans="2:3" ht="14.25">
      <c r="B34" s="74">
        <v>38070</v>
      </c>
      <c r="C34" s="73">
        <v>0.03915055467511886</v>
      </c>
    </row>
    <row r="35" spans="2:3" ht="14.25">
      <c r="B35" s="74">
        <v>38077</v>
      </c>
      <c r="C35" s="73">
        <v>0.054545694664553626</v>
      </c>
    </row>
    <row r="36" spans="2:3" ht="14.25">
      <c r="B36" s="74">
        <v>38084</v>
      </c>
      <c r="C36" s="73">
        <v>0.08350079239302695</v>
      </c>
    </row>
    <row r="37" spans="2:3" ht="14.25">
      <c r="B37" s="74">
        <v>38091</v>
      </c>
      <c r="C37" s="73">
        <v>0.2630427892234548</v>
      </c>
    </row>
    <row r="38" spans="2:3" ht="14.25">
      <c r="B38" s="74">
        <v>38098</v>
      </c>
      <c r="C38" s="73">
        <v>0.42209191759112513</v>
      </c>
    </row>
    <row r="39" spans="2:3" ht="14.25">
      <c r="B39" s="74">
        <v>38105</v>
      </c>
      <c r="C39" s="73">
        <v>0.7442683571051241</v>
      </c>
    </row>
    <row r="40" spans="2:3" ht="14.25">
      <c r="B40" s="74">
        <v>38112</v>
      </c>
      <c r="C40" s="73">
        <v>0.954294770206022</v>
      </c>
    </row>
    <row r="41" spans="2:3" ht="14.25">
      <c r="B41" s="74">
        <v>38119</v>
      </c>
      <c r="C41" s="73">
        <v>1.1633016376122556</v>
      </c>
    </row>
    <row r="42" spans="2:3" ht="14.25">
      <c r="B42" s="74">
        <v>38126</v>
      </c>
      <c r="C42" s="73">
        <v>1.386582144743793</v>
      </c>
    </row>
    <row r="43" spans="2:3" ht="14.25">
      <c r="B43" s="74">
        <v>38133</v>
      </c>
      <c r="C43" s="73">
        <v>1.605784469096672</v>
      </c>
    </row>
    <row r="44" spans="2:3" ht="14.25">
      <c r="B44" s="74">
        <v>38140</v>
      </c>
      <c r="C44" s="73">
        <v>1.8453777073428421</v>
      </c>
    </row>
    <row r="45" spans="2:3" ht="14.25">
      <c r="B45" s="74">
        <v>38147</v>
      </c>
      <c r="C45" s="73">
        <v>2.0040190174326464</v>
      </c>
    </row>
    <row r="46" spans="2:3" ht="14.25">
      <c r="B46" s="74">
        <v>38154</v>
      </c>
      <c r="C46" s="73">
        <v>2.18080824088748</v>
      </c>
    </row>
    <row r="47" spans="2:3" ht="14.25">
      <c r="B47" s="74">
        <v>38161</v>
      </c>
      <c r="C47" s="73">
        <v>2.254521394611727</v>
      </c>
    </row>
    <row r="48" spans="2:3" ht="14.25">
      <c r="B48" s="74">
        <v>38168</v>
      </c>
      <c r="C48" s="73">
        <v>2.254521394611727</v>
      </c>
    </row>
    <row r="49" spans="2:3" ht="14.25">
      <c r="B49" s="74">
        <v>38175</v>
      </c>
      <c r="C49" s="73">
        <v>2.2930602218700473</v>
      </c>
    </row>
    <row r="50" spans="2:3" ht="14.25">
      <c r="B50" s="74">
        <v>38182</v>
      </c>
      <c r="C50" s="73">
        <v>2.2930602218700473</v>
      </c>
    </row>
    <row r="51" spans="2:3" ht="14.25">
      <c r="B51" s="74">
        <v>38189</v>
      </c>
      <c r="C51" s="73">
        <v>2.20813206550449</v>
      </c>
    </row>
    <row r="52" spans="2:3" ht="14.25">
      <c r="B52" s="74">
        <v>38196</v>
      </c>
      <c r="C52" s="73">
        <v>2.20813206550449</v>
      </c>
    </row>
    <row r="53" spans="2:3" ht="14.25">
      <c r="B53" s="74">
        <v>38203</v>
      </c>
      <c r="C53" s="73">
        <v>2.1232039091389328</v>
      </c>
    </row>
    <row r="54" spans="2:3" ht="14.25">
      <c r="B54" s="74">
        <v>38210</v>
      </c>
      <c r="C54" s="73">
        <v>2.086806127839408</v>
      </c>
    </row>
    <row r="55" spans="2:3" ht="14.25">
      <c r="B55" s="74">
        <v>38217</v>
      </c>
      <c r="C55" s="73">
        <v>2.014010565240359</v>
      </c>
    </row>
    <row r="56" spans="2:3" ht="14.25">
      <c r="B56" s="74">
        <v>38224</v>
      </c>
      <c r="C56" s="73">
        <v>1.8642393026941362</v>
      </c>
    </row>
    <row r="57" spans="2:3" ht="14.25">
      <c r="B57" s="74">
        <v>38231</v>
      </c>
      <c r="C57" s="73">
        <v>1.7046804014791337</v>
      </c>
    </row>
    <row r="58" spans="2:3" ht="14.25">
      <c r="B58" s="74">
        <v>38238</v>
      </c>
      <c r="C58" s="73">
        <v>1.5415530903328052</v>
      </c>
    </row>
    <row r="59" spans="2:3" ht="14.25">
      <c r="B59" s="74">
        <v>38245</v>
      </c>
      <c r="C59" s="73">
        <v>1.3688420496566298</v>
      </c>
    </row>
    <row r="60" spans="2:3" ht="14.25">
      <c r="B60" s="74">
        <v>38252</v>
      </c>
      <c r="C60" s="73">
        <v>1.2571279024120734</v>
      </c>
    </row>
    <row r="61" spans="2:3" ht="14.25">
      <c r="B61" s="74">
        <v>38259</v>
      </c>
      <c r="C61" s="73">
        <v>1.0482783460596454</v>
      </c>
    </row>
    <row r="62" spans="2:3" ht="14.25">
      <c r="B62" s="74">
        <v>38266</v>
      </c>
      <c r="C62" s="73">
        <v>0.8258320126782883</v>
      </c>
    </row>
    <row r="63" spans="2:3" ht="14.25">
      <c r="B63" s="74">
        <v>38273</v>
      </c>
      <c r="C63" s="73">
        <v>0.5994928684627575</v>
      </c>
    </row>
    <row r="64" spans="2:3" ht="14.25">
      <c r="B64" s="74">
        <v>38280</v>
      </c>
      <c r="C64" s="73">
        <v>0.493460116217644</v>
      </c>
    </row>
    <row r="65" spans="2:3" ht="14.25">
      <c r="B65" s="74">
        <v>38287</v>
      </c>
      <c r="C65" s="73">
        <v>0.38742736397253036</v>
      </c>
    </row>
    <row r="66" spans="2:3" ht="14.25">
      <c r="B66" s="74">
        <v>38294</v>
      </c>
      <c r="C66" s="73">
        <v>0.30280507131537243</v>
      </c>
    </row>
    <row r="67" spans="2:3" ht="14.25">
      <c r="B67" s="74">
        <v>38301</v>
      </c>
      <c r="C67" s="73">
        <v>0.22837823560486004</v>
      </c>
    </row>
    <row r="68" spans="2:3" ht="14.25">
      <c r="B68" s="74">
        <v>38308</v>
      </c>
      <c r="C68" s="73">
        <v>0.14375594294770203</v>
      </c>
    </row>
    <row r="69" spans="2:3" ht="14.25">
      <c r="B69" s="74">
        <v>38315</v>
      </c>
      <c r="C69" s="73">
        <v>0.0836027469624934</v>
      </c>
    </row>
    <row r="70" ht="12.75">
      <c r="C70" s="73">
        <f>SUM(C34:C69)</f>
        <v>44.3316915099614</v>
      </c>
    </row>
  </sheetData>
  <sheetProtection/>
  <mergeCells count="7">
    <mergeCell ref="A18:B19"/>
    <mergeCell ref="Q5:T7"/>
    <mergeCell ref="A8:B8"/>
    <mergeCell ref="A10:B10"/>
    <mergeCell ref="A11:B11"/>
    <mergeCell ref="A12:B12"/>
    <mergeCell ref="A13:B1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sandenb</dc:creator>
  <cp:keywords/>
  <dc:description/>
  <cp:lastModifiedBy>Carol Heaton</cp:lastModifiedBy>
  <cp:lastPrinted>2010-09-20T15:46:30Z</cp:lastPrinted>
  <dcterms:created xsi:type="dcterms:W3CDTF">2010-03-18T20:18:55Z</dcterms:created>
  <dcterms:modified xsi:type="dcterms:W3CDTF">2022-07-08T21:27:40Z</dcterms:modified>
  <cp:category/>
  <cp:version/>
  <cp:contentType/>
  <cp:contentStatus/>
</cp:coreProperties>
</file>